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800" windowWidth="10665" windowHeight="6195" activeTab="0"/>
  </bookViews>
  <sheets>
    <sheet name="Fuel 1" sheetId="1" r:id="rId1"/>
    <sheet name="Fuel 2" sheetId="2" r:id="rId2"/>
    <sheet name="Fuel Mix" sheetId="3" r:id="rId3"/>
  </sheets>
  <definedNames>
    <definedName name="_xlnm.Print_Area" localSheetId="0">'Fuel 1'!$A$2:$J$24</definedName>
    <definedName name="_xlnm.Print_Area" localSheetId="1">'Fuel 2'!$A$2:$J$24</definedName>
    <definedName name="_xlnm.Print_Area" localSheetId="2">'Fuel Mix'!$A$2:$J$24</definedName>
  </definedNames>
  <calcPr fullCalcOnLoad="1"/>
</workbook>
</file>

<file path=xl/sharedStrings.xml><?xml version="1.0" encoding="utf-8"?>
<sst xmlns="http://schemas.openxmlformats.org/spreadsheetml/2006/main" count="194" uniqueCount="60">
  <si>
    <t>COMBUSTION ANALYSIS</t>
  </si>
  <si>
    <t>Site Location</t>
  </si>
  <si>
    <t>Std. Amb. Temperature</t>
  </si>
  <si>
    <t>Deg R</t>
  </si>
  <si>
    <t>Fuel Designation</t>
  </si>
  <si>
    <t>1E,2W</t>
  </si>
  <si>
    <t>Std. Amb. Pressure</t>
  </si>
  <si>
    <t>Psia</t>
  </si>
  <si>
    <t>Site Elevation</t>
  </si>
  <si>
    <t>Ft</t>
  </si>
  <si>
    <t>Bar</t>
  </si>
  <si>
    <t>Ambient Temperature</t>
  </si>
  <si>
    <t>Deg F</t>
  </si>
  <si>
    <t>Atmospheric Density</t>
  </si>
  <si>
    <t>Lbm/Cuft</t>
  </si>
  <si>
    <t>Ult Fract</t>
  </si>
  <si>
    <t>Formula</t>
  </si>
  <si>
    <t>Air/Fuel</t>
  </si>
  <si>
    <t>Air</t>
  </si>
  <si>
    <t>CO2 prod</t>
  </si>
  <si>
    <t>H2O prod</t>
  </si>
  <si>
    <t>N2 prod</t>
  </si>
  <si>
    <t>SO2</t>
  </si>
  <si>
    <t>Htg Value</t>
  </si>
  <si>
    <t>C</t>
  </si>
  <si>
    <t>H2</t>
  </si>
  <si>
    <t>O2</t>
  </si>
  <si>
    <t>N2</t>
  </si>
  <si>
    <t>S</t>
  </si>
  <si>
    <t>ASH</t>
  </si>
  <si>
    <t>H2O</t>
  </si>
  <si>
    <t>Lbs Fuel</t>
  </si>
  <si>
    <t>Stoich O2</t>
  </si>
  <si>
    <t>CO2 Prod</t>
  </si>
  <si>
    <t>H2O Prod</t>
  </si>
  <si>
    <t>N2 Prod</t>
  </si>
  <si>
    <t>SO2 Prod</t>
  </si>
  <si>
    <t>Total</t>
  </si>
  <si>
    <t>HHV</t>
  </si>
  <si>
    <t>Flue Gas</t>
  </si>
  <si>
    <t>Exc O2%</t>
  </si>
  <si>
    <t>Act O2</t>
  </si>
  <si>
    <t>CO2</t>
  </si>
  <si>
    <t>LHV</t>
  </si>
  <si>
    <t>Analysis</t>
  </si>
  <si>
    <t>No. Moles</t>
  </si>
  <si>
    <t>Mol Fract</t>
  </si>
  <si>
    <t>Mol Wt.</t>
  </si>
  <si>
    <t>Fuel Flow</t>
  </si>
  <si>
    <t>Prod Flow</t>
  </si>
  <si>
    <t>Fly ash %</t>
  </si>
  <si>
    <t>With ash</t>
  </si>
  <si>
    <t>Ash Load</t>
  </si>
  <si>
    <t>Gas Temp</t>
  </si>
  <si>
    <t>Heat Rel</t>
  </si>
  <si>
    <t>ACFM</t>
  </si>
  <si>
    <t>Comp</t>
  </si>
  <si>
    <t>%Fuel1</t>
  </si>
  <si>
    <t>%Fuel2</t>
  </si>
  <si>
    <t>SO2 prod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</si>
</sst>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</numFmts>
  <fonts count="36">
    <font>
      <sz val="10"/>
      <name val="Arial"/>
      <family val="0"/>
    </font>
    <font>
      <b/>
      <sz val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ck">
        <color indexed="8"/>
      </left>
      <right style="thin">
        <color indexed="22"/>
      </right>
      <top style="thick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8"/>
      </top>
      <bottom>
        <color indexed="63"/>
      </bottom>
    </border>
    <border>
      <left style="thin">
        <color indexed="22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22"/>
      </left>
      <right style="thick">
        <color indexed="8"/>
      </right>
      <top style="medium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8"/>
      </right>
      <top style="thin">
        <color indexed="22"/>
      </top>
      <bottom>
        <color indexed="63"/>
      </bottom>
    </border>
    <border>
      <left style="thick">
        <color indexed="8"/>
      </left>
      <right style="thin">
        <color indexed="22"/>
      </right>
      <top style="medium"/>
      <bottom style="medium"/>
    </border>
    <border>
      <left style="thin">
        <color indexed="22"/>
      </left>
      <right style="thick">
        <color indexed="8"/>
      </right>
      <top style="medium"/>
      <bottom style="medium"/>
    </border>
    <border>
      <left style="thin">
        <color indexed="22"/>
      </left>
      <right style="thick">
        <color indexed="8"/>
      </right>
      <top style="medium"/>
      <bottom style="thin">
        <color indexed="22"/>
      </bottom>
    </border>
    <border>
      <left style="thick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ck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0" fillId="33" borderId="10" xfId="0" applyNumberFormat="1" applyFill="1" applyBorder="1" applyAlignment="1" applyProtection="1">
      <alignment/>
      <protection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 applyProtection="1">
      <alignment horizontal="left"/>
      <protection/>
    </xf>
    <xf numFmtId="164" fontId="0" fillId="34" borderId="10" xfId="0" applyNumberFormat="1" applyFill="1" applyBorder="1" applyAlignment="1" applyProtection="1">
      <alignment/>
      <protection/>
    </xf>
    <xf numFmtId="164" fontId="0" fillId="34" borderId="10" xfId="0" applyNumberFormat="1" applyFill="1" applyBorder="1" applyAlignment="1" applyProtection="1">
      <alignment horizontal="center"/>
      <protection/>
    </xf>
    <xf numFmtId="164" fontId="0" fillId="34" borderId="10" xfId="0" applyNumberFormat="1" applyFill="1" applyBorder="1" applyAlignment="1" applyProtection="1">
      <alignment horizontal="left"/>
      <protection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 applyProtection="1" quotePrefix="1">
      <alignment horizontal="left"/>
      <protection/>
    </xf>
    <xf numFmtId="164" fontId="0" fillId="33" borderId="11" xfId="0" applyNumberFormat="1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33" borderId="13" xfId="0" applyNumberFormat="1" applyFill="1" applyBorder="1" applyAlignment="1" applyProtection="1">
      <alignment/>
      <protection/>
    </xf>
    <xf numFmtId="164" fontId="0" fillId="33" borderId="14" xfId="0" applyNumberFormat="1" applyFill="1" applyBorder="1" applyAlignment="1" applyProtection="1">
      <alignment horizontal="left"/>
      <protection/>
    </xf>
    <xf numFmtId="164" fontId="0" fillId="33" borderId="15" xfId="0" applyNumberFormat="1" applyFill="1" applyBorder="1" applyAlignment="1" applyProtection="1">
      <alignment horizontal="left"/>
      <protection/>
    </xf>
    <xf numFmtId="164" fontId="0" fillId="33" borderId="16" xfId="0" applyNumberFormat="1" applyFill="1" applyBorder="1" applyAlignment="1" applyProtection="1">
      <alignment horizontal="left"/>
      <protection/>
    </xf>
    <xf numFmtId="164" fontId="0" fillId="33" borderId="16" xfId="0" applyNumberFormat="1" applyFill="1" applyBorder="1" applyAlignment="1" applyProtection="1">
      <alignment/>
      <protection/>
    </xf>
    <xf numFmtId="164" fontId="0" fillId="34" borderId="16" xfId="0" applyNumberFormat="1" applyFill="1" applyBorder="1" applyAlignment="1" applyProtection="1">
      <alignment/>
      <protection/>
    </xf>
    <xf numFmtId="164" fontId="0" fillId="33" borderId="17" xfId="0" applyNumberFormat="1" applyFill="1" applyBorder="1" applyAlignment="1" applyProtection="1">
      <alignment/>
      <protection/>
    </xf>
    <xf numFmtId="164" fontId="0" fillId="34" borderId="18" xfId="0" applyNumberFormat="1" applyFill="1" applyBorder="1" applyAlignment="1" applyProtection="1">
      <alignment horizontal="center"/>
      <protection/>
    </xf>
    <xf numFmtId="164" fontId="0" fillId="34" borderId="19" xfId="0" applyNumberFormat="1" applyFill="1" applyBorder="1" applyAlignment="1" applyProtection="1">
      <alignment horizontal="center"/>
      <protection/>
    </xf>
    <xf numFmtId="164" fontId="0" fillId="34" borderId="19" xfId="0" applyNumberFormat="1" applyFill="1" applyBorder="1" applyAlignment="1" applyProtection="1">
      <alignment/>
      <protection/>
    </xf>
    <xf numFmtId="164" fontId="0" fillId="34" borderId="11" xfId="0" applyNumberFormat="1" applyFill="1" applyBorder="1" applyAlignment="1" applyProtection="1">
      <alignment horizontal="left"/>
      <protection/>
    </xf>
    <xf numFmtId="164" fontId="0" fillId="34" borderId="12" xfId="0" applyNumberFormat="1" applyFill="1" applyBorder="1" applyAlignment="1" applyProtection="1">
      <alignment horizontal="center"/>
      <protection/>
    </xf>
    <xf numFmtId="164" fontId="0" fillId="34" borderId="12" xfId="0" applyNumberFormat="1" applyFill="1" applyBorder="1" applyAlignment="1" applyProtection="1">
      <alignment/>
      <protection/>
    </xf>
    <xf numFmtId="164" fontId="0" fillId="34" borderId="16" xfId="0" applyNumberFormat="1" applyFill="1" applyBorder="1" applyAlignment="1" applyProtection="1">
      <alignment horizontal="center"/>
      <protection/>
    </xf>
    <xf numFmtId="164" fontId="0" fillId="34" borderId="17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164" fontId="0" fillId="34" borderId="11" xfId="0" applyNumberFormat="1" applyFill="1" applyBorder="1" applyAlignment="1" applyProtection="1">
      <alignment/>
      <protection/>
    </xf>
    <xf numFmtId="164" fontId="0" fillId="33" borderId="20" xfId="0" applyNumberFormat="1" applyFill="1" applyBorder="1" applyAlignment="1" applyProtection="1">
      <alignment/>
      <protection/>
    </xf>
    <xf numFmtId="164" fontId="0" fillId="33" borderId="21" xfId="0" applyNumberFormat="1" applyFill="1" applyBorder="1" applyAlignment="1" applyProtection="1">
      <alignment/>
      <protection/>
    </xf>
    <xf numFmtId="164" fontId="1" fillId="33" borderId="21" xfId="0" applyNumberFormat="1" applyFont="1" applyFill="1" applyBorder="1" applyAlignment="1" applyProtection="1">
      <alignment horizontal="left"/>
      <protection/>
    </xf>
    <xf numFmtId="164" fontId="0" fillId="33" borderId="22" xfId="0" applyNumberFormat="1" applyFill="1" applyBorder="1" applyAlignment="1" applyProtection="1">
      <alignment/>
      <protection/>
    </xf>
    <xf numFmtId="164" fontId="0" fillId="33" borderId="23" xfId="0" applyNumberFormat="1" applyFill="1" applyBorder="1" applyAlignment="1" applyProtection="1">
      <alignment horizontal="left"/>
      <protection/>
    </xf>
    <xf numFmtId="164" fontId="0" fillId="33" borderId="24" xfId="0" applyNumberFormat="1" applyFill="1" applyBorder="1" applyAlignment="1" applyProtection="1">
      <alignment/>
      <protection/>
    </xf>
    <xf numFmtId="164" fontId="0" fillId="33" borderId="25" xfId="0" applyNumberFormat="1" applyFill="1" applyBorder="1" applyAlignment="1" applyProtection="1">
      <alignment/>
      <protection/>
    </xf>
    <xf numFmtId="164" fontId="0" fillId="34" borderId="26" xfId="0" applyNumberFormat="1" applyFill="1" applyBorder="1" applyAlignment="1" applyProtection="1">
      <alignment horizontal="center"/>
      <protection/>
    </xf>
    <xf numFmtId="164" fontId="0" fillId="34" borderId="27" xfId="0" applyNumberFormat="1" applyFill="1" applyBorder="1" applyAlignment="1" applyProtection="1">
      <alignment horizontal="center"/>
      <protection/>
    </xf>
    <xf numFmtId="164" fontId="0" fillId="34" borderId="28" xfId="0" applyNumberFormat="1" applyFill="1" applyBorder="1" applyAlignment="1" applyProtection="1">
      <alignment/>
      <protection/>
    </xf>
    <xf numFmtId="164" fontId="0" fillId="34" borderId="14" xfId="0" applyNumberFormat="1" applyFill="1" applyBorder="1" applyAlignment="1" applyProtection="1">
      <alignment/>
      <protection/>
    </xf>
    <xf numFmtId="164" fontId="0" fillId="34" borderId="25" xfId="0" applyNumberForma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 locked="0"/>
    </xf>
    <xf numFmtId="164" fontId="0" fillId="34" borderId="15" xfId="0" applyNumberFormat="1" applyFill="1" applyBorder="1" applyAlignment="1" applyProtection="1">
      <alignment/>
      <protection locked="0"/>
    </xf>
    <xf numFmtId="164" fontId="0" fillId="34" borderId="24" xfId="0" applyNumberFormat="1" applyFill="1" applyBorder="1" applyAlignment="1" applyProtection="1">
      <alignment/>
      <protection locked="0"/>
    </xf>
    <xf numFmtId="164" fontId="0" fillId="34" borderId="31" xfId="0" applyNumberFormat="1" applyFill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 applyProtection="1">
      <alignment/>
      <protection/>
    </xf>
    <xf numFmtId="164" fontId="0" fillId="34" borderId="32" xfId="0" applyNumberFormat="1" applyFill="1" applyBorder="1" applyAlignment="1" applyProtection="1">
      <alignment/>
      <protection/>
    </xf>
    <xf numFmtId="164" fontId="0" fillId="0" borderId="33" xfId="0" applyNumberForma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34" borderId="17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 quotePrefix="1">
      <alignment/>
      <protection/>
    </xf>
    <xf numFmtId="164" fontId="0" fillId="34" borderId="29" xfId="0" applyNumberFormat="1" applyFill="1" applyBorder="1" applyAlignment="1" applyProtection="1">
      <alignment horizontal="center"/>
      <protection/>
    </xf>
    <xf numFmtId="164" fontId="0" fillId="34" borderId="23" xfId="0" applyNumberFormat="1" applyFill="1" applyBorder="1" applyAlignment="1" applyProtection="1">
      <alignment horizontal="center"/>
      <protection/>
    </xf>
    <xf numFmtId="164" fontId="0" fillId="34" borderId="34" xfId="0" applyNumberFormat="1" applyFill="1" applyBorder="1" applyAlignment="1" applyProtection="1">
      <alignment horizontal="center"/>
      <protection/>
    </xf>
    <xf numFmtId="164" fontId="0" fillId="34" borderId="35" xfId="0" applyNumberFormat="1" applyFill="1" applyBorder="1" applyAlignment="1" applyProtection="1">
      <alignment/>
      <protection/>
    </xf>
    <xf numFmtId="164" fontId="0" fillId="34" borderId="34" xfId="0" applyNumberFormat="1" applyFill="1" applyBorder="1" applyAlignment="1" applyProtection="1">
      <alignment/>
      <protection locked="0"/>
    </xf>
    <xf numFmtId="164" fontId="0" fillId="33" borderId="35" xfId="0" applyNumberFormat="1" applyFill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4" fontId="0" fillId="33" borderId="16" xfId="0" applyNumberForma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164" fontId="0" fillId="34" borderId="40" xfId="0" applyNumberForma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64" fontId="0" fillId="34" borderId="41" xfId="0" applyNumberFormat="1" applyFill="1" applyBorder="1" applyAlignment="1" applyProtection="1">
      <alignment horizontal="center"/>
      <protection/>
    </xf>
    <xf numFmtId="164" fontId="0" fillId="34" borderId="15" xfId="0" applyNumberFormat="1" applyFill="1" applyBorder="1" applyAlignment="1" applyProtection="1">
      <alignment horizontal="center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4" fontId="0" fillId="34" borderId="45" xfId="0" applyNumberFormat="1" applyFill="1" applyBorder="1" applyAlignment="1" applyProtection="1">
      <alignment/>
      <protection locked="0"/>
    </xf>
    <xf numFmtId="164" fontId="0" fillId="34" borderId="41" xfId="0" applyNumberForma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164" fontId="0" fillId="0" borderId="48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0" width="8.7109375" style="2" customWidth="1"/>
    <col min="11" max="16384" width="9.140625" style="2" customWidth="1"/>
  </cols>
  <sheetData>
    <row r="1" spans="1:18" ht="13.5" thickBot="1">
      <c r="A1" s="10"/>
      <c r="B1" s="11"/>
      <c r="C1" s="11"/>
      <c r="D1" s="11"/>
      <c r="E1" s="10"/>
      <c r="F1" s="10"/>
      <c r="G1" s="10"/>
      <c r="H1" s="10"/>
      <c r="I1" s="10"/>
      <c r="J1" s="10"/>
      <c r="K1" s="1"/>
      <c r="L1" s="1"/>
      <c r="M1" s="1"/>
      <c r="N1" s="1"/>
      <c r="O1" s="1"/>
      <c r="P1" s="1"/>
      <c r="Q1" s="1"/>
      <c r="R1" s="1"/>
    </row>
    <row r="2" spans="1:18" ht="14.25" thickBot="1" thickTop="1">
      <c r="A2" s="30"/>
      <c r="B2" s="31"/>
      <c r="C2" s="31"/>
      <c r="D2" s="32" t="s">
        <v>0</v>
      </c>
      <c r="E2" s="31"/>
      <c r="F2" s="31"/>
      <c r="G2" s="31"/>
      <c r="H2" s="31"/>
      <c r="I2" s="31"/>
      <c r="J2" s="33"/>
      <c r="K2" s="9"/>
      <c r="L2" s="1"/>
      <c r="M2" s="1"/>
      <c r="N2" s="1"/>
      <c r="O2" s="1"/>
      <c r="P2" s="1"/>
      <c r="Q2" s="1"/>
      <c r="R2" s="1"/>
    </row>
    <row r="3" spans="1:18" ht="12.75">
      <c r="A3" s="42" t="s">
        <v>1</v>
      </c>
      <c r="B3" s="43"/>
      <c r="C3" s="56"/>
      <c r="D3" s="43"/>
      <c r="E3" s="43"/>
      <c r="F3" s="16" t="s">
        <v>2</v>
      </c>
      <c r="G3" s="17"/>
      <c r="H3" s="17"/>
      <c r="I3" s="18">
        <f>518.7-D5*0.003565</f>
        <v>517.0315800000001</v>
      </c>
      <c r="J3" s="34" t="s">
        <v>3</v>
      </c>
      <c r="K3" s="9"/>
      <c r="L3" s="1"/>
      <c r="M3" s="1"/>
      <c r="N3" s="1"/>
      <c r="O3" s="1"/>
      <c r="P3" s="1"/>
      <c r="Q3" s="1"/>
      <c r="R3" s="1"/>
    </row>
    <row r="4" spans="1:18" ht="12.75">
      <c r="A4" s="44" t="s">
        <v>4</v>
      </c>
      <c r="B4" s="45"/>
      <c r="C4" s="57">
        <v>1</v>
      </c>
      <c r="D4" s="65" t="s">
        <v>5</v>
      </c>
      <c r="E4" s="45" t="str">
        <f>IF(C4=1,"East","West")</f>
        <v>East</v>
      </c>
      <c r="F4" s="3" t="s">
        <v>6</v>
      </c>
      <c r="G4" s="1"/>
      <c r="H4" s="1"/>
      <c r="I4" s="4">
        <f>14.696-((0.0005293)*D5)+((0.000000007062)*D5^2)</f>
        <v>14.449834347488</v>
      </c>
      <c r="J4" s="14" t="s">
        <v>7</v>
      </c>
      <c r="K4" s="9"/>
      <c r="L4" s="1"/>
      <c r="M4" s="1"/>
      <c r="N4" s="1"/>
      <c r="O4" s="1"/>
      <c r="P4" s="1"/>
      <c r="Q4" s="1"/>
      <c r="R4" s="1"/>
    </row>
    <row r="5" spans="1:18" ht="12.75">
      <c r="A5" s="15" t="s">
        <v>8</v>
      </c>
      <c r="B5" s="1"/>
      <c r="C5" s="1"/>
      <c r="D5" s="55">
        <v>468</v>
      </c>
      <c r="E5" s="3" t="s">
        <v>9</v>
      </c>
      <c r="F5" s="3" t="s">
        <v>6</v>
      </c>
      <c r="G5" s="1"/>
      <c r="H5" s="1"/>
      <c r="I5" s="4">
        <f>29.92*I4/14.696</f>
        <v>29.418824420035453</v>
      </c>
      <c r="J5" s="14" t="s">
        <v>10</v>
      </c>
      <c r="K5" s="9"/>
      <c r="L5" s="1"/>
      <c r="M5" s="1"/>
      <c r="N5" s="1"/>
      <c r="O5" s="1"/>
      <c r="P5" s="1"/>
      <c r="Q5" s="1"/>
      <c r="R5" s="1"/>
    </row>
    <row r="6" spans="1:18" ht="12.75">
      <c r="A6" s="15" t="s">
        <v>11</v>
      </c>
      <c r="B6" s="1"/>
      <c r="C6" s="1"/>
      <c r="D6" s="55">
        <v>60</v>
      </c>
      <c r="E6" s="3" t="s">
        <v>12</v>
      </c>
      <c r="F6" s="3" t="s">
        <v>13</v>
      </c>
      <c r="G6" s="1"/>
      <c r="H6" s="1"/>
      <c r="I6" s="4">
        <f>1.325*I5/(D6+459.7)</f>
        <v>0.0750046995507927</v>
      </c>
      <c r="J6" s="14" t="s">
        <v>14</v>
      </c>
      <c r="K6" s="9"/>
      <c r="L6" s="1"/>
      <c r="M6" s="1"/>
      <c r="N6" s="1"/>
      <c r="O6" s="1"/>
      <c r="P6" s="1"/>
      <c r="Q6" s="1"/>
      <c r="R6" s="1"/>
    </row>
    <row r="7" spans="1:18" ht="13.5" thickBot="1">
      <c r="A7" s="35"/>
      <c r="B7" s="10"/>
      <c r="C7" s="10"/>
      <c r="D7" s="10"/>
      <c r="E7" s="10"/>
      <c r="F7" s="10"/>
      <c r="G7" s="10"/>
      <c r="H7" s="10"/>
      <c r="I7" s="10"/>
      <c r="J7" s="36"/>
      <c r="K7" s="9"/>
      <c r="L7" s="1"/>
      <c r="M7" s="1"/>
      <c r="N7" s="1"/>
      <c r="O7" s="1"/>
      <c r="P7" s="1"/>
      <c r="Q7" s="1"/>
      <c r="R7" s="1"/>
    </row>
    <row r="8" spans="1:18" ht="13.5" thickBot="1">
      <c r="A8" s="37" t="s">
        <v>15</v>
      </c>
      <c r="B8" s="20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0" t="s">
        <v>21</v>
      </c>
      <c r="H8" s="20" t="s">
        <v>59</v>
      </c>
      <c r="I8" s="20"/>
      <c r="J8" s="38" t="s">
        <v>23</v>
      </c>
      <c r="K8" s="9"/>
      <c r="L8" s="1"/>
      <c r="M8" s="1"/>
      <c r="N8" s="1"/>
      <c r="O8" s="1"/>
      <c r="P8" s="1"/>
      <c r="Q8" s="1"/>
      <c r="R8" s="1"/>
    </row>
    <row r="9" spans="1:18" ht="12.75">
      <c r="A9" s="54">
        <v>0.7076</v>
      </c>
      <c r="B9" s="21" t="s">
        <v>24</v>
      </c>
      <c r="C9" s="22">
        <v>11.51</v>
      </c>
      <c r="D9" s="22">
        <f aca="true" t="shared" si="0" ref="D9:D14">A9*C9</f>
        <v>8.144476</v>
      </c>
      <c r="E9" s="22">
        <f>A9*3.664</f>
        <v>2.5926464</v>
      </c>
      <c r="F9" s="22">
        <f>A9*0</f>
        <v>0</v>
      </c>
      <c r="G9" s="22">
        <f>A9*8.846</f>
        <v>6.2594296</v>
      </c>
      <c r="H9" s="22">
        <f>A9*0</f>
        <v>0</v>
      </c>
      <c r="I9" s="22"/>
      <c r="J9" s="39">
        <f>A9*14093</f>
        <v>9972.2068</v>
      </c>
      <c r="K9" s="9"/>
      <c r="L9" s="1"/>
      <c r="M9" s="1"/>
      <c r="N9" s="1"/>
      <c r="O9" s="1"/>
      <c r="P9" s="1"/>
      <c r="Q9" s="1"/>
      <c r="R9" s="1"/>
    </row>
    <row r="10" spans="1:18" ht="12.75">
      <c r="A10" s="52">
        <v>0.04523636364</v>
      </c>
      <c r="B10" s="5" t="s">
        <v>25</v>
      </c>
      <c r="C10" s="4">
        <v>34.29</v>
      </c>
      <c r="D10" s="4">
        <f t="shared" si="0"/>
        <v>1.5511549092155998</v>
      </c>
      <c r="E10" s="4">
        <f>A10*0</f>
        <v>0</v>
      </c>
      <c r="F10" s="4">
        <f>A10*8.937</f>
        <v>0.40427738185067996</v>
      </c>
      <c r="G10" s="4">
        <f>A10*26.353</f>
        <v>1.19211389100492</v>
      </c>
      <c r="H10" s="4"/>
      <c r="I10" s="4"/>
      <c r="J10" s="40">
        <f>A10*61095</f>
        <v>2763.7156365858</v>
      </c>
      <c r="K10" s="9"/>
      <c r="L10" s="1"/>
      <c r="M10" s="1"/>
      <c r="N10" s="1"/>
      <c r="O10" s="1"/>
      <c r="P10" s="1"/>
      <c r="Q10" s="1"/>
      <c r="R10" s="1"/>
    </row>
    <row r="11" spans="1:18" ht="12.75">
      <c r="A11" s="52">
        <v>0.07267272727</v>
      </c>
      <c r="B11" s="5" t="s">
        <v>26</v>
      </c>
      <c r="C11" s="4">
        <v>-4.31593</v>
      </c>
      <c r="D11" s="4">
        <f t="shared" si="0"/>
        <v>-0.31365040380641107</v>
      </c>
      <c r="E11" s="4">
        <f>A11*0</f>
        <v>0</v>
      </c>
      <c r="F11" s="4">
        <f>A11*0</f>
        <v>0</v>
      </c>
      <c r="G11" s="4">
        <f>D11*0.7683</f>
        <v>-0.24097760524446563</v>
      </c>
      <c r="H11" s="4"/>
      <c r="I11" s="4"/>
      <c r="J11" s="40">
        <f>A11*0</f>
        <v>0</v>
      </c>
      <c r="K11" s="9"/>
      <c r="L11" s="1"/>
      <c r="M11" s="1"/>
      <c r="N11" s="1"/>
      <c r="O11" s="1"/>
      <c r="P11" s="1"/>
      <c r="Q11" s="1"/>
      <c r="R11" s="1"/>
    </row>
    <row r="12" spans="1:18" ht="12.75">
      <c r="A12" s="52">
        <v>0.01365454545</v>
      </c>
      <c r="B12" s="5" t="s">
        <v>27</v>
      </c>
      <c r="C12" s="4">
        <v>0</v>
      </c>
      <c r="D12" s="4">
        <f t="shared" si="0"/>
        <v>0</v>
      </c>
      <c r="E12" s="4">
        <f>A12*0</f>
        <v>0</v>
      </c>
      <c r="F12" s="4">
        <f>A12*0</f>
        <v>0</v>
      </c>
      <c r="G12" s="4">
        <f>A12</f>
        <v>0.01365454545</v>
      </c>
      <c r="H12" s="4"/>
      <c r="I12" s="4"/>
      <c r="J12" s="40">
        <f>A12*0</f>
        <v>0</v>
      </c>
      <c r="K12" s="9"/>
      <c r="L12" s="1"/>
      <c r="M12" s="1"/>
      <c r="N12" s="1"/>
      <c r="O12" s="1"/>
      <c r="P12" s="1"/>
      <c r="Q12" s="1"/>
      <c r="R12" s="1"/>
    </row>
    <row r="13" spans="1:18" ht="12.75">
      <c r="A13" s="52">
        <v>0.00670909091</v>
      </c>
      <c r="B13" s="5" t="s">
        <v>28</v>
      </c>
      <c r="C13" s="4">
        <v>4.32</v>
      </c>
      <c r="D13" s="4">
        <f t="shared" si="0"/>
        <v>0.0289832727312</v>
      </c>
      <c r="E13" s="4">
        <f>A13*0</f>
        <v>0</v>
      </c>
      <c r="F13" s="4">
        <f>A13*0</f>
        <v>0</v>
      </c>
      <c r="G13" s="4">
        <f>A13*3.32</f>
        <v>0.022274181821199997</v>
      </c>
      <c r="H13" s="4">
        <f>A13*1.998</f>
        <v>0.01340476363818</v>
      </c>
      <c r="I13" s="4"/>
      <c r="J13" s="40">
        <f>A13*3980</f>
        <v>26.7021818218</v>
      </c>
      <c r="K13" s="9"/>
      <c r="L13" s="1"/>
      <c r="M13" s="1"/>
      <c r="N13" s="1"/>
      <c r="O13" s="1"/>
      <c r="P13" s="1"/>
      <c r="Q13" s="1"/>
      <c r="R13" s="1"/>
    </row>
    <row r="14" spans="1:18" ht="12.75">
      <c r="A14" s="52">
        <v>0.09596363636</v>
      </c>
      <c r="B14" s="5" t="s">
        <v>29</v>
      </c>
      <c r="C14" s="4">
        <v>0</v>
      </c>
      <c r="D14" s="4">
        <f t="shared" si="0"/>
        <v>0</v>
      </c>
      <c r="E14" s="4">
        <f>A14*0</f>
        <v>0</v>
      </c>
      <c r="F14" s="4">
        <f>A14*0</f>
        <v>0</v>
      </c>
      <c r="G14" s="4">
        <f>A14*0</f>
        <v>0</v>
      </c>
      <c r="H14" s="4"/>
      <c r="I14" s="4"/>
      <c r="J14" s="40">
        <f>A14*0</f>
        <v>0</v>
      </c>
      <c r="K14" s="9"/>
      <c r="L14" s="1"/>
      <c r="M14" s="1"/>
      <c r="N14" s="1"/>
      <c r="O14" s="1"/>
      <c r="P14" s="1"/>
      <c r="Q14" s="1"/>
      <c r="R14" s="1"/>
    </row>
    <row r="15" spans="1:18" ht="13.5" thickBot="1">
      <c r="A15" s="53">
        <v>0.05814545455</v>
      </c>
      <c r="B15" s="24" t="s">
        <v>30</v>
      </c>
      <c r="C15" s="25">
        <v>0</v>
      </c>
      <c r="D15" s="25">
        <v>0</v>
      </c>
      <c r="E15" s="25">
        <v>0</v>
      </c>
      <c r="F15" s="25">
        <f>A15</f>
        <v>0.05814545455</v>
      </c>
      <c r="G15" s="25">
        <v>0</v>
      </c>
      <c r="H15" s="25">
        <v>0</v>
      </c>
      <c r="I15" s="25"/>
      <c r="J15" s="41">
        <v>0</v>
      </c>
      <c r="K15" s="9"/>
      <c r="L15" s="1"/>
      <c r="M15" s="1"/>
      <c r="N15" s="1"/>
      <c r="O15" s="1"/>
      <c r="P15" s="1"/>
      <c r="Q15" s="1"/>
      <c r="R15" s="1"/>
    </row>
    <row r="16" spans="1:18" ht="12.75">
      <c r="A16" s="66" t="s">
        <v>31</v>
      </c>
      <c r="B16" s="75"/>
      <c r="C16" s="75" t="s">
        <v>17</v>
      </c>
      <c r="D16" s="75" t="s">
        <v>32</v>
      </c>
      <c r="E16" s="26" t="s">
        <v>33</v>
      </c>
      <c r="F16" s="26" t="s">
        <v>34</v>
      </c>
      <c r="G16" s="26" t="s">
        <v>35</v>
      </c>
      <c r="H16" s="26" t="s">
        <v>36</v>
      </c>
      <c r="I16" s="78" t="s">
        <v>37</v>
      </c>
      <c r="J16" s="67" t="s">
        <v>38</v>
      </c>
      <c r="K16" s="9"/>
      <c r="L16" s="1"/>
      <c r="M16" s="1"/>
      <c r="N16" s="1"/>
      <c r="O16" s="1"/>
      <c r="P16" s="1"/>
      <c r="Q16" s="1"/>
      <c r="R16" s="1"/>
    </row>
    <row r="17" spans="1:18" ht="13.5" thickBot="1">
      <c r="A17" s="68">
        <f>SUM(A9:A15)</f>
        <v>0.99998181818</v>
      </c>
      <c r="B17" s="19"/>
      <c r="C17" s="19">
        <f>SUM(D9:D15)</f>
        <v>9.410963778140387</v>
      </c>
      <c r="D17" s="27">
        <f>0.2317*C17</f>
        <v>2.1805203073951276</v>
      </c>
      <c r="E17" s="27">
        <f>SUM(E9:E15)</f>
        <v>2.5926464</v>
      </c>
      <c r="F17" s="27">
        <f>SUM(F9:F15)</f>
        <v>0.46242283640067994</v>
      </c>
      <c r="G17" s="27">
        <f>SUM(G9:G15)</f>
        <v>7.246494613031654</v>
      </c>
      <c r="H17" s="27">
        <f>SUM(H9:H15)</f>
        <v>0.01340476363818</v>
      </c>
      <c r="I17" s="47">
        <f>SUM(E17:H17)</f>
        <v>10.314968613070514</v>
      </c>
      <c r="J17" s="69">
        <f>SUM(J9:J15)</f>
        <v>12762.624618407599</v>
      </c>
      <c r="K17" s="9"/>
      <c r="L17" s="1"/>
      <c r="M17" s="1"/>
      <c r="N17" s="1"/>
      <c r="O17" s="1"/>
      <c r="P17" s="1"/>
      <c r="Q17" s="1"/>
      <c r="R17" s="1"/>
    </row>
    <row r="18" spans="1:18" ht="12.75">
      <c r="A18" s="66" t="s">
        <v>39</v>
      </c>
      <c r="B18" s="26" t="s">
        <v>40</v>
      </c>
      <c r="C18" s="26" t="s">
        <v>41</v>
      </c>
      <c r="D18" s="78" t="s">
        <v>26</v>
      </c>
      <c r="E18" s="26" t="s">
        <v>42</v>
      </c>
      <c r="F18" s="26" t="s">
        <v>30</v>
      </c>
      <c r="G18" s="26" t="s">
        <v>27</v>
      </c>
      <c r="H18" s="26" t="s">
        <v>22</v>
      </c>
      <c r="I18" s="77" t="s">
        <v>37</v>
      </c>
      <c r="J18" s="67" t="s">
        <v>43</v>
      </c>
      <c r="K18" s="23"/>
      <c r="L18" s="1"/>
      <c r="M18" s="1"/>
      <c r="N18" s="1"/>
      <c r="O18" s="1"/>
      <c r="P18" s="1"/>
      <c r="Q18" s="1"/>
      <c r="R18" s="1"/>
    </row>
    <row r="19" spans="1:18" ht="12.75">
      <c r="A19" s="79" t="s">
        <v>44</v>
      </c>
      <c r="B19" s="51">
        <v>3</v>
      </c>
      <c r="C19" s="59">
        <f>(1+B19/100)*D17</f>
        <v>2.2459359166169817</v>
      </c>
      <c r="D19" s="59">
        <f>C19-D17</f>
        <v>0.06541560922185408</v>
      </c>
      <c r="E19" s="59">
        <f>E17</f>
        <v>2.5926464</v>
      </c>
      <c r="F19" s="59">
        <f>F17</f>
        <v>0.46242283640067994</v>
      </c>
      <c r="G19" s="10">
        <f>G17+(B19/100)*(0.7683*C17)</f>
        <v>7.4634079171540115</v>
      </c>
      <c r="H19" s="59">
        <f>H17</f>
        <v>0.01340476363818</v>
      </c>
      <c r="I19" s="60">
        <f>SUM(D19:H19)</f>
        <v>10.597297526414726</v>
      </c>
      <c r="J19" s="41">
        <f>SUM(J9:J15)-1059.7*F17</f>
        <v>12272.595138673798</v>
      </c>
      <c r="K19" s="23"/>
      <c r="L19" s="1"/>
      <c r="M19" s="1"/>
      <c r="N19" s="1"/>
      <c r="O19" s="1"/>
      <c r="P19" s="1"/>
      <c r="Q19" s="1"/>
      <c r="R19" s="1"/>
    </row>
    <row r="20" spans="1:18" ht="12.75">
      <c r="A20" s="44"/>
      <c r="B20" s="45"/>
      <c r="C20" s="45" t="s">
        <v>45</v>
      </c>
      <c r="D20" s="48">
        <f>D19/31.9988</f>
        <v>0.002044314449974814</v>
      </c>
      <c r="E20" s="1">
        <f>E19/44.0098</f>
        <v>0.058910660807365636</v>
      </c>
      <c r="F20" s="1">
        <f>F19/18.0153</f>
        <v>0.02566833948924969</v>
      </c>
      <c r="G20" s="1">
        <f>G19/28.0135</f>
        <v>0.266421829373481</v>
      </c>
      <c r="H20" s="1">
        <f>H19/64.0648</f>
        <v>0.00020923757879802947</v>
      </c>
      <c r="I20" s="48">
        <f>SUM(D20:H20)</f>
        <v>0.3532543816988692</v>
      </c>
      <c r="J20" s="86"/>
      <c r="K20" s="28"/>
      <c r="L20" s="1"/>
      <c r="M20" s="1"/>
      <c r="N20" s="1"/>
      <c r="O20" s="1"/>
      <c r="P20" s="1"/>
      <c r="Q20" s="1"/>
      <c r="R20" s="1"/>
    </row>
    <row r="21" spans="1:18" ht="13.5" thickBot="1">
      <c r="A21" s="87"/>
      <c r="B21" s="19"/>
      <c r="C21" s="62" t="s">
        <v>46</v>
      </c>
      <c r="D21" s="61">
        <f>D20/I20</f>
        <v>0.005787088726665774</v>
      </c>
      <c r="E21" s="62">
        <f>E20/I20</f>
        <v>0.16676554873587918</v>
      </c>
      <c r="F21" s="62">
        <f>F20/I20</f>
        <v>0.07266248012496163</v>
      </c>
      <c r="G21" s="62">
        <f>G20/I20</f>
        <v>0.7541925682342749</v>
      </c>
      <c r="H21" s="62">
        <f>H20/I20</f>
        <v>0.0005923141782184418</v>
      </c>
      <c r="I21" s="61">
        <f>I19/I20</f>
        <v>29.999054719293945</v>
      </c>
      <c r="J21" s="88" t="s">
        <v>47</v>
      </c>
      <c r="K21" s="58"/>
      <c r="L21" s="1"/>
      <c r="M21" s="1"/>
      <c r="N21" s="1"/>
      <c r="O21" s="1"/>
      <c r="P21" s="1"/>
      <c r="Q21" s="1"/>
      <c r="R21" s="1"/>
    </row>
    <row r="22" spans="1:18" ht="12.75">
      <c r="A22" s="66" t="s">
        <v>48</v>
      </c>
      <c r="B22" s="26" t="s">
        <v>49</v>
      </c>
      <c r="C22" s="78" t="s">
        <v>50</v>
      </c>
      <c r="D22" s="26" t="s">
        <v>51</v>
      </c>
      <c r="E22" s="78" t="s">
        <v>52</v>
      </c>
      <c r="F22" s="26" t="s">
        <v>53</v>
      </c>
      <c r="G22" s="75" t="s">
        <v>54</v>
      </c>
      <c r="H22" s="26" t="s">
        <v>55</v>
      </c>
      <c r="I22" s="78"/>
      <c r="J22" s="67" t="s">
        <v>56</v>
      </c>
      <c r="K22" s="23"/>
      <c r="L22" s="1"/>
      <c r="M22" s="1"/>
      <c r="N22" s="1"/>
      <c r="O22" s="1"/>
      <c r="P22" s="1"/>
      <c r="Q22" s="1"/>
      <c r="R22" s="1"/>
    </row>
    <row r="23" spans="1:18" ht="13.5" thickBot="1">
      <c r="A23" s="70">
        <v>650000</v>
      </c>
      <c r="B23" s="27">
        <f>I19*A23</f>
        <v>6888243.392169572</v>
      </c>
      <c r="C23" s="46">
        <v>80</v>
      </c>
      <c r="D23" s="27">
        <f>B23+A23*C23*A14/100</f>
        <v>6938144.483076773</v>
      </c>
      <c r="E23" s="47">
        <f>(D23-B23)*7000/(H23*60)</f>
        <v>1.6260884357552428</v>
      </c>
      <c r="F23" s="64">
        <v>800</v>
      </c>
      <c r="G23" s="46">
        <f>A23*J17</f>
        <v>8295706001.964939</v>
      </c>
      <c r="H23" s="27">
        <f>B23*(1545.33/I21)*(F23+459.7)/(I4*144*60)</f>
        <v>3580244.3527429723</v>
      </c>
      <c r="I23" s="46"/>
      <c r="J23" s="71">
        <f>A23/A23</f>
        <v>1</v>
      </c>
      <c r="K23" s="9"/>
      <c r="L23" s="1"/>
      <c r="M23" s="1"/>
      <c r="N23" s="1"/>
      <c r="O23" s="1"/>
      <c r="P23" s="1"/>
      <c r="Q23" s="1"/>
      <c r="R23" s="1"/>
    </row>
    <row r="24" spans="1:18" ht="13.5" thickBot="1">
      <c r="A24" s="89"/>
      <c r="B24" s="96"/>
      <c r="C24" s="96"/>
      <c r="D24" s="90"/>
      <c r="E24" s="90"/>
      <c r="F24" s="90"/>
      <c r="G24" s="90"/>
      <c r="H24" s="90"/>
      <c r="I24" s="90"/>
      <c r="J24" s="91"/>
      <c r="K24" s="23"/>
      <c r="L24" s="1"/>
      <c r="M24" s="1"/>
      <c r="N24" s="1"/>
      <c r="O24" s="1"/>
      <c r="P24" s="1"/>
      <c r="Q24" s="1"/>
      <c r="R24" s="1"/>
    </row>
    <row r="25" spans="1:18" ht="13.5" thickTop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9"/>
      <c r="L25" s="1"/>
      <c r="M25" s="1"/>
      <c r="N25" s="1"/>
      <c r="O25" s="1"/>
      <c r="P25" s="1"/>
      <c r="Q25" s="1"/>
      <c r="R25" s="1"/>
    </row>
    <row r="26" spans="1:18" ht="12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6"/>
      <c r="B29" s="4"/>
      <c r="C29" s="4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5"/>
      <c r="B31" s="5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6"/>
      <c r="B34" s="4"/>
      <c r="C34" s="4"/>
      <c r="D34" s="6"/>
      <c r="E34" s="6"/>
      <c r="F34" s="4"/>
      <c r="G34" s="4"/>
      <c r="H34" s="6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6"/>
      <c r="B35" s="4"/>
      <c r="C35" s="4"/>
      <c r="D35" s="6"/>
      <c r="E35" s="6"/>
      <c r="F35" s="4"/>
      <c r="G35" s="4"/>
      <c r="H35" s="6"/>
      <c r="I35" s="8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6"/>
      <c r="C36" s="7"/>
      <c r="D36" s="6"/>
      <c r="E36" s="6"/>
      <c r="G36" s="7"/>
      <c r="M36" s="1"/>
      <c r="N36" s="1"/>
      <c r="O36" s="1"/>
      <c r="P36" s="1"/>
      <c r="Q36" s="1"/>
      <c r="R36" s="1"/>
    </row>
    <row r="37" spans="1:18" ht="12.75">
      <c r="A37" s="6"/>
      <c r="B37" s="4"/>
      <c r="C37" s="4"/>
      <c r="D37" s="6"/>
      <c r="E37" s="6"/>
      <c r="F37" s="4"/>
      <c r="G37" s="4"/>
      <c r="H37" s="6"/>
      <c r="I37" s="8"/>
      <c r="J37" s="1"/>
      <c r="K37" s="1"/>
      <c r="L37" s="1"/>
      <c r="M37" s="1"/>
      <c r="N37" s="1"/>
      <c r="O37" s="1"/>
      <c r="P37" s="1"/>
      <c r="Q37" s="1"/>
      <c r="R37" s="1"/>
    </row>
  </sheetData>
  <sheetProtection password="BCF7" sheet="1" objects="1" scenarios="1"/>
  <printOptions horizontalCentered="1"/>
  <pageMargins left="0.5" right="0.5" top="0.7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0" width="8.7109375" style="0" customWidth="1"/>
  </cols>
  <sheetData>
    <row r="1" spans="1:17" ht="13.5" thickBot="1">
      <c r="A1" s="10"/>
      <c r="B1" s="11"/>
      <c r="E1" s="10"/>
      <c r="F1" s="10"/>
      <c r="G1" s="10"/>
      <c r="H1" s="10"/>
      <c r="I1" s="10"/>
      <c r="J1" s="10"/>
      <c r="K1" s="1"/>
      <c r="L1" s="1"/>
      <c r="M1" s="1"/>
      <c r="N1" s="1"/>
      <c r="O1" s="1"/>
      <c r="P1" s="1"/>
      <c r="Q1" s="1"/>
    </row>
    <row r="2" spans="1:17" ht="14.25" thickBot="1" thickTop="1">
      <c r="A2" s="30"/>
      <c r="B2" s="31"/>
      <c r="C2" s="31"/>
      <c r="D2" s="32" t="s">
        <v>0</v>
      </c>
      <c r="E2" s="31"/>
      <c r="F2" s="31"/>
      <c r="G2" s="31"/>
      <c r="H2" s="31"/>
      <c r="I2" s="31"/>
      <c r="J2" s="33"/>
      <c r="K2" s="9"/>
      <c r="L2" s="1"/>
      <c r="M2" s="1"/>
      <c r="N2" s="1"/>
      <c r="O2" s="1"/>
      <c r="P2" s="1"/>
      <c r="Q2" s="1"/>
    </row>
    <row r="3" spans="1:17" ht="12.75">
      <c r="A3" s="42" t="s">
        <v>1</v>
      </c>
      <c r="B3" s="43"/>
      <c r="C3" s="56"/>
      <c r="D3" s="43"/>
      <c r="E3" s="43"/>
      <c r="F3" s="16" t="s">
        <v>2</v>
      </c>
      <c r="G3" s="17"/>
      <c r="H3" s="17"/>
      <c r="I3" s="18">
        <f>518.7-D5*0.003565</f>
        <v>517.0315800000001</v>
      </c>
      <c r="J3" s="34" t="s">
        <v>3</v>
      </c>
      <c r="K3" s="9"/>
      <c r="L3" s="1"/>
      <c r="M3" s="1"/>
      <c r="N3" s="1"/>
      <c r="O3" s="1"/>
      <c r="P3" s="1"/>
      <c r="Q3" s="1"/>
    </row>
    <row r="4" spans="1:17" ht="12.75">
      <c r="A4" s="44" t="s">
        <v>4</v>
      </c>
      <c r="B4" s="45"/>
      <c r="C4" s="57">
        <v>2</v>
      </c>
      <c r="D4" s="65" t="s">
        <v>5</v>
      </c>
      <c r="E4" s="45" t="str">
        <f>IF(C4=1,"East","West")</f>
        <v>West</v>
      </c>
      <c r="F4" s="3" t="s">
        <v>6</v>
      </c>
      <c r="G4" s="1"/>
      <c r="H4" s="1"/>
      <c r="I4" s="4">
        <f>14.696-((0.0005293)*D5)+((0.000000007062)*D5^2)</f>
        <v>14.449834347488</v>
      </c>
      <c r="J4" s="14" t="s">
        <v>7</v>
      </c>
      <c r="K4" s="9"/>
      <c r="L4" s="1"/>
      <c r="M4" s="1"/>
      <c r="N4" s="1"/>
      <c r="O4" s="1"/>
      <c r="P4" s="1"/>
      <c r="Q4" s="1"/>
    </row>
    <row r="5" spans="1:17" ht="12.75">
      <c r="A5" s="15" t="s">
        <v>8</v>
      </c>
      <c r="B5" s="1"/>
      <c r="C5" s="1"/>
      <c r="D5" s="55">
        <v>468</v>
      </c>
      <c r="E5" s="3" t="s">
        <v>9</v>
      </c>
      <c r="F5" s="3" t="s">
        <v>6</v>
      </c>
      <c r="G5" s="1"/>
      <c r="H5" s="1"/>
      <c r="I5" s="4">
        <f>29.92*I4/14.696</f>
        <v>29.418824420035453</v>
      </c>
      <c r="J5" s="14" t="s">
        <v>10</v>
      </c>
      <c r="K5" s="9"/>
      <c r="L5" s="1"/>
      <c r="M5" s="1"/>
      <c r="N5" s="1"/>
      <c r="O5" s="1"/>
      <c r="P5" s="1"/>
      <c r="Q5" s="1"/>
    </row>
    <row r="6" spans="1:17" ht="12.75">
      <c r="A6" s="15" t="s">
        <v>11</v>
      </c>
      <c r="B6" s="1"/>
      <c r="C6" s="1"/>
      <c r="D6" s="55">
        <v>60</v>
      </c>
      <c r="E6" s="3" t="s">
        <v>12</v>
      </c>
      <c r="F6" s="3" t="s">
        <v>13</v>
      </c>
      <c r="G6" s="1"/>
      <c r="H6" s="1"/>
      <c r="I6" s="4">
        <f>1.325*I5/(D6+459.7)</f>
        <v>0.0750046995507927</v>
      </c>
      <c r="J6" s="14" t="s">
        <v>14</v>
      </c>
      <c r="K6" s="9"/>
      <c r="L6" s="1"/>
      <c r="M6" s="1"/>
      <c r="N6" s="1"/>
      <c r="O6" s="1"/>
      <c r="P6" s="1"/>
      <c r="Q6" s="1"/>
    </row>
    <row r="7" spans="1:17" ht="13.5" thickBot="1">
      <c r="A7" s="35"/>
      <c r="B7" s="10"/>
      <c r="C7" s="10"/>
      <c r="D7" s="10"/>
      <c r="E7" s="10"/>
      <c r="F7" s="10"/>
      <c r="G7" s="10"/>
      <c r="H7" s="10"/>
      <c r="I7" s="10"/>
      <c r="J7" s="36"/>
      <c r="K7" s="9"/>
      <c r="L7" s="1"/>
      <c r="M7" s="1"/>
      <c r="N7" s="1"/>
      <c r="O7" s="1"/>
      <c r="P7" s="1"/>
      <c r="Q7" s="1"/>
    </row>
    <row r="8" spans="1:17" ht="13.5" thickBot="1">
      <c r="A8" s="37" t="s">
        <v>15</v>
      </c>
      <c r="B8" s="20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0" t="s">
        <v>21</v>
      </c>
      <c r="H8" s="20" t="s">
        <v>59</v>
      </c>
      <c r="I8" s="20"/>
      <c r="J8" s="38" t="s">
        <v>23</v>
      </c>
      <c r="K8" s="9"/>
      <c r="L8" s="1"/>
      <c r="M8" s="1"/>
      <c r="N8" s="1"/>
      <c r="O8" s="1"/>
      <c r="P8" s="1"/>
      <c r="Q8" s="1"/>
    </row>
    <row r="9" spans="1:17" ht="12.75">
      <c r="A9" s="54">
        <v>0.5646</v>
      </c>
      <c r="B9" s="21" t="s">
        <v>24</v>
      </c>
      <c r="C9" s="22">
        <v>11.51</v>
      </c>
      <c r="D9" s="22">
        <f aca="true" t="shared" si="0" ref="D9:D14">A9*C9</f>
        <v>6.498546</v>
      </c>
      <c r="E9" s="22">
        <f>A9*3.664</f>
        <v>2.0686944</v>
      </c>
      <c r="F9" s="22">
        <f>A9*0</f>
        <v>0</v>
      </c>
      <c r="G9" s="22">
        <f>A9*8.846</f>
        <v>4.9944516</v>
      </c>
      <c r="H9" s="22">
        <f>A9*0</f>
        <v>0</v>
      </c>
      <c r="I9" s="22"/>
      <c r="J9" s="39">
        <f>A9*14093</f>
        <v>7956.9078</v>
      </c>
      <c r="K9" s="9"/>
      <c r="L9" s="1"/>
      <c r="M9" s="1"/>
      <c r="N9" s="1"/>
      <c r="O9" s="1"/>
      <c r="P9" s="1"/>
      <c r="Q9" s="1"/>
    </row>
    <row r="10" spans="1:17" ht="12.75">
      <c r="A10" s="52">
        <v>0.0384</v>
      </c>
      <c r="B10" s="5" t="s">
        <v>25</v>
      </c>
      <c r="C10" s="4">
        <v>34.29</v>
      </c>
      <c r="D10" s="4">
        <f t="shared" si="0"/>
        <v>1.316736</v>
      </c>
      <c r="E10" s="4">
        <f>A10*0</f>
        <v>0</v>
      </c>
      <c r="F10" s="4">
        <f>A10*8.937</f>
        <v>0.34318079999999995</v>
      </c>
      <c r="G10" s="4">
        <f>A10*26.353</f>
        <v>1.0119552</v>
      </c>
      <c r="H10" s="4"/>
      <c r="I10" s="4"/>
      <c r="J10" s="40">
        <f>A10*61095</f>
        <v>2346.048</v>
      </c>
      <c r="K10" s="9"/>
      <c r="L10" s="1"/>
      <c r="M10" s="1"/>
      <c r="N10" s="1"/>
      <c r="O10" s="1"/>
      <c r="P10" s="1"/>
      <c r="Q10" s="1"/>
    </row>
    <row r="11" spans="1:17" ht="12.75">
      <c r="A11" s="52">
        <v>0.1064</v>
      </c>
      <c r="B11" s="5" t="s">
        <v>26</v>
      </c>
      <c r="C11" s="4">
        <v>-4.31593</v>
      </c>
      <c r="D11" s="4">
        <f t="shared" si="0"/>
        <v>-0.45921495199999995</v>
      </c>
      <c r="E11" s="4">
        <f>A11*0</f>
        <v>0</v>
      </c>
      <c r="F11" s="4">
        <f>A11*0</f>
        <v>0</v>
      </c>
      <c r="G11" s="4">
        <f>D11*0.7683</f>
        <v>-0.3528148476216</v>
      </c>
      <c r="H11" s="4"/>
      <c r="I11" s="4"/>
      <c r="J11" s="40">
        <f>A11*0</f>
        <v>0</v>
      </c>
      <c r="K11" s="9"/>
      <c r="L11" s="1"/>
      <c r="M11" s="1"/>
      <c r="N11" s="1"/>
      <c r="O11" s="1"/>
      <c r="P11" s="1"/>
      <c r="Q11" s="1"/>
    </row>
    <row r="12" spans="1:17" ht="12.75">
      <c r="A12" s="52">
        <v>0.009</v>
      </c>
      <c r="B12" s="5" t="s">
        <v>27</v>
      </c>
      <c r="C12" s="4">
        <v>0</v>
      </c>
      <c r="D12" s="4">
        <f t="shared" si="0"/>
        <v>0</v>
      </c>
      <c r="E12" s="4">
        <f>A12*0</f>
        <v>0</v>
      </c>
      <c r="F12" s="4">
        <f>A12*0</f>
        <v>0</v>
      </c>
      <c r="G12" s="4">
        <f>A12</f>
        <v>0.009</v>
      </c>
      <c r="H12" s="4"/>
      <c r="I12" s="4"/>
      <c r="J12" s="40">
        <f>A12*0</f>
        <v>0</v>
      </c>
      <c r="K12" s="9"/>
      <c r="L12" s="1"/>
      <c r="M12" s="1"/>
      <c r="N12" s="1"/>
      <c r="O12" s="1"/>
      <c r="P12" s="1"/>
      <c r="Q12" s="1"/>
    </row>
    <row r="13" spans="1:17" ht="12.75">
      <c r="A13" s="52">
        <v>0.00363</v>
      </c>
      <c r="B13" s="5" t="s">
        <v>28</v>
      </c>
      <c r="C13" s="4">
        <v>4.32</v>
      </c>
      <c r="D13" s="4">
        <f t="shared" si="0"/>
        <v>0.0156816</v>
      </c>
      <c r="E13" s="4">
        <f>A13*0</f>
        <v>0</v>
      </c>
      <c r="F13" s="4">
        <f>A13*0</f>
        <v>0</v>
      </c>
      <c r="G13" s="4">
        <f>A13*3.32</f>
        <v>0.012051599999999999</v>
      </c>
      <c r="H13" s="4">
        <f>A13*1.998</f>
        <v>0.00725274</v>
      </c>
      <c r="I13" s="4"/>
      <c r="J13" s="40">
        <f>A13*3980</f>
        <v>14.4474</v>
      </c>
      <c r="K13" s="9"/>
      <c r="L13" s="1"/>
      <c r="M13" s="1"/>
      <c r="N13" s="1"/>
      <c r="O13" s="1"/>
      <c r="P13" s="1"/>
      <c r="Q13" s="1"/>
    </row>
    <row r="14" spans="1:17" ht="12.75">
      <c r="A14" s="52">
        <v>0.0593</v>
      </c>
      <c r="B14" s="5" t="s">
        <v>29</v>
      </c>
      <c r="C14" s="4">
        <v>0</v>
      </c>
      <c r="D14" s="4">
        <f t="shared" si="0"/>
        <v>0</v>
      </c>
      <c r="E14" s="4">
        <f>A14*0</f>
        <v>0</v>
      </c>
      <c r="F14" s="4">
        <f>A14*0</f>
        <v>0</v>
      </c>
      <c r="G14" s="4">
        <f>A14*0</f>
        <v>0</v>
      </c>
      <c r="H14" s="4"/>
      <c r="I14" s="4"/>
      <c r="J14" s="40">
        <f>A14*0</f>
        <v>0</v>
      </c>
      <c r="K14" s="9"/>
      <c r="L14" s="1"/>
      <c r="M14" s="1"/>
      <c r="N14" s="1"/>
      <c r="O14" s="1"/>
      <c r="P14" s="1"/>
      <c r="Q14" s="1"/>
    </row>
    <row r="15" spans="1:17" ht="13.5" thickBot="1">
      <c r="A15" s="53">
        <v>0.2188</v>
      </c>
      <c r="B15" s="24" t="s">
        <v>30</v>
      </c>
      <c r="C15" s="25">
        <v>0</v>
      </c>
      <c r="D15" s="25">
        <v>0</v>
      </c>
      <c r="E15" s="25">
        <v>0</v>
      </c>
      <c r="F15" s="25">
        <f>A15</f>
        <v>0.2188</v>
      </c>
      <c r="G15" s="25">
        <v>0</v>
      </c>
      <c r="H15" s="25">
        <v>0</v>
      </c>
      <c r="I15" s="25"/>
      <c r="J15" s="41">
        <v>0</v>
      </c>
      <c r="K15" s="9"/>
      <c r="L15" s="1"/>
      <c r="M15" s="1"/>
      <c r="N15" s="1"/>
      <c r="O15" s="1"/>
      <c r="P15" s="1"/>
      <c r="Q15" s="1"/>
    </row>
    <row r="16" spans="1:17" ht="12.75">
      <c r="A16" s="66" t="s">
        <v>31</v>
      </c>
      <c r="B16" s="75"/>
      <c r="C16" s="75" t="s">
        <v>17</v>
      </c>
      <c r="D16" s="75" t="s">
        <v>32</v>
      </c>
      <c r="E16" s="26" t="s">
        <v>33</v>
      </c>
      <c r="F16" s="26" t="s">
        <v>34</v>
      </c>
      <c r="G16" s="26" t="s">
        <v>35</v>
      </c>
      <c r="H16" s="26" t="s">
        <v>36</v>
      </c>
      <c r="I16" s="76" t="s">
        <v>37</v>
      </c>
      <c r="J16" s="67" t="s">
        <v>38</v>
      </c>
      <c r="L16" s="1"/>
      <c r="M16" s="1"/>
      <c r="N16" s="1"/>
      <c r="O16" s="1"/>
      <c r="P16" s="1"/>
      <c r="Q16" s="1"/>
    </row>
    <row r="17" spans="1:17" ht="13.5" thickBot="1">
      <c r="A17" s="68">
        <f>SUM(A9:A15)</f>
        <v>1.00013</v>
      </c>
      <c r="B17" s="19"/>
      <c r="C17" s="19">
        <f>SUM(D9:D15)</f>
        <v>7.371748648</v>
      </c>
      <c r="D17" s="27">
        <f>0.2317*C17</f>
        <v>1.7080341617416</v>
      </c>
      <c r="E17" s="27">
        <f>SUM(E9:E15)</f>
        <v>2.0686944</v>
      </c>
      <c r="F17" s="27">
        <f>SUM(F9:F15)</f>
        <v>0.5619808</v>
      </c>
      <c r="G17" s="27">
        <f>SUM(G9:G15)</f>
        <v>5.6746435523784005</v>
      </c>
      <c r="H17" s="27">
        <f>SUM(H9:H15)</f>
        <v>0.00725274</v>
      </c>
      <c r="I17" s="50">
        <f>SUM(E17:H17)</f>
        <v>8.312571492378401</v>
      </c>
      <c r="J17" s="69">
        <f>SUM(J9:J15)</f>
        <v>10317.403199999999</v>
      </c>
      <c r="L17" s="1"/>
      <c r="M17" s="1"/>
      <c r="N17" s="1"/>
      <c r="O17" s="1"/>
      <c r="P17" s="1"/>
      <c r="Q17" s="1"/>
    </row>
    <row r="18" spans="1:17" ht="12.75">
      <c r="A18" s="66" t="s">
        <v>39</v>
      </c>
      <c r="B18" s="26" t="s">
        <v>40</v>
      </c>
      <c r="C18" s="26" t="s">
        <v>41</v>
      </c>
      <c r="D18" s="76" t="s">
        <v>26</v>
      </c>
      <c r="E18" s="26" t="s">
        <v>42</v>
      </c>
      <c r="F18" s="26" t="s">
        <v>30</v>
      </c>
      <c r="G18" s="26" t="s">
        <v>27</v>
      </c>
      <c r="H18" s="26" t="s">
        <v>22</v>
      </c>
      <c r="I18" s="77" t="s">
        <v>37</v>
      </c>
      <c r="J18" s="67" t="s">
        <v>43</v>
      </c>
      <c r="L18" s="1"/>
      <c r="M18" s="1"/>
      <c r="N18" s="1"/>
      <c r="O18" s="1"/>
      <c r="P18" s="1"/>
      <c r="Q18" s="1"/>
    </row>
    <row r="19" spans="1:17" ht="12.75">
      <c r="A19" s="80" t="s">
        <v>44</v>
      </c>
      <c r="B19" s="51">
        <v>3</v>
      </c>
      <c r="C19" s="59">
        <f>(1+B19/100)*D17</f>
        <v>1.759275186593848</v>
      </c>
      <c r="D19" s="63">
        <f>C19-D17</f>
        <v>0.05124102485224813</v>
      </c>
      <c r="E19" s="59">
        <f>E17</f>
        <v>2.0686944</v>
      </c>
      <c r="F19" s="59">
        <f>F17</f>
        <v>0.5619808</v>
      </c>
      <c r="G19" s="10">
        <f>G17+(B19/100)*(0.7683*C17)</f>
        <v>5.844554986966153</v>
      </c>
      <c r="H19" s="59">
        <f>H17</f>
        <v>0.00725274</v>
      </c>
      <c r="I19" s="60">
        <f>SUM(D19:H19)</f>
        <v>8.5337239518184</v>
      </c>
      <c r="J19" s="41">
        <f>SUM(J9:J15)-1059.7*F17</f>
        <v>9721.872146239999</v>
      </c>
      <c r="L19" s="1"/>
      <c r="M19" s="1"/>
      <c r="N19" s="1"/>
      <c r="O19" s="1"/>
      <c r="P19" s="1"/>
      <c r="Q19" s="1"/>
    </row>
    <row r="20" spans="1:17" ht="12.75">
      <c r="A20" s="92"/>
      <c r="B20" s="93"/>
      <c r="C20" s="45" t="s">
        <v>45</v>
      </c>
      <c r="D20" s="45">
        <f>D19/31.9988</f>
        <v>0.00160134207696064</v>
      </c>
      <c r="E20" s="1">
        <f>E19/44.0098</f>
        <v>0.04700531245313544</v>
      </c>
      <c r="F20" s="1">
        <f>F19/18.0153</f>
        <v>0.031194640111460812</v>
      </c>
      <c r="G20" s="1">
        <f>G19/28.0135</f>
        <v>0.20863351551809495</v>
      </c>
      <c r="H20" s="1">
        <f>H19/64.0648</f>
        <v>0.0001132094379440816</v>
      </c>
      <c r="I20" s="45">
        <f>SUM(D20:H20)</f>
        <v>0.2885480195975959</v>
      </c>
      <c r="J20" s="86"/>
      <c r="K20" s="9"/>
      <c r="L20" s="1"/>
      <c r="M20" s="1"/>
      <c r="N20" s="1"/>
      <c r="O20" s="1"/>
      <c r="P20" s="1"/>
      <c r="Q20" s="1"/>
    </row>
    <row r="21" spans="1:17" ht="13.5" thickBot="1">
      <c r="A21" s="94"/>
      <c r="B21" s="19"/>
      <c r="C21" s="49" t="s">
        <v>46</v>
      </c>
      <c r="D21" s="49">
        <f>D20/I20</f>
        <v>0.005549655406382079</v>
      </c>
      <c r="E21" s="49">
        <f>E20/I20</f>
        <v>0.16290291133755913</v>
      </c>
      <c r="F21" s="49">
        <f>F20/I20</f>
        <v>0.10810900783503667</v>
      </c>
      <c r="G21" s="49">
        <f>G20/I20</f>
        <v>0.723046083660708</v>
      </c>
      <c r="H21" s="49">
        <f>H20/I20</f>
        <v>0.00039234176031414643</v>
      </c>
      <c r="I21" s="49">
        <f>I19/I20</f>
        <v>29.5747098306874</v>
      </c>
      <c r="J21" s="95" t="s">
        <v>47</v>
      </c>
      <c r="K21" s="23"/>
      <c r="L21" s="1"/>
      <c r="M21" s="1"/>
      <c r="N21" s="1"/>
      <c r="O21" s="1"/>
      <c r="P21" s="1"/>
      <c r="Q21" s="1"/>
    </row>
    <row r="22" spans="1:17" ht="12.75">
      <c r="A22" s="66" t="s">
        <v>48</v>
      </c>
      <c r="B22" s="26" t="s">
        <v>49</v>
      </c>
      <c r="C22" s="78" t="s">
        <v>50</v>
      </c>
      <c r="D22" s="26" t="s">
        <v>51</v>
      </c>
      <c r="E22" s="76" t="s">
        <v>52</v>
      </c>
      <c r="F22" s="26" t="s">
        <v>53</v>
      </c>
      <c r="G22" s="75" t="s">
        <v>54</v>
      </c>
      <c r="H22" s="26" t="s">
        <v>55</v>
      </c>
      <c r="I22" s="76"/>
      <c r="J22" s="67" t="s">
        <v>56</v>
      </c>
      <c r="K22" s="23"/>
      <c r="L22" s="1"/>
      <c r="M22" s="1"/>
      <c r="N22" s="1"/>
      <c r="O22" s="1"/>
      <c r="P22" s="1"/>
      <c r="Q22" s="1"/>
    </row>
    <row r="23" spans="1:17" ht="13.5" thickBot="1">
      <c r="A23" s="70">
        <f>G23/J17</f>
        <v>804049.8021793837</v>
      </c>
      <c r="B23" s="27">
        <f>I19*A23</f>
        <v>6861539.055313054</v>
      </c>
      <c r="C23" s="46">
        <v>80</v>
      </c>
      <c r="D23" s="27">
        <f>B23+A23*C23*A14/100</f>
        <v>6899683.177928443</v>
      </c>
      <c r="E23" s="49">
        <f>(D23-B23)*7000/(H23*60)</f>
        <v>1.2301600464631137</v>
      </c>
      <c r="F23" s="64">
        <v>800</v>
      </c>
      <c r="G23" s="46">
        <f>'Fuel 1'!G23</f>
        <v>8295706001.964939</v>
      </c>
      <c r="H23" s="27">
        <f>B23*(1545.33/I21)*(F23+459.7)/(I4*144*60)</f>
        <v>3617535.4997562496</v>
      </c>
      <c r="I23" s="49"/>
      <c r="J23" s="71">
        <f>A23/'Fuel 1'!A23</f>
        <v>1.2369996956605902</v>
      </c>
      <c r="K23" s="9"/>
      <c r="L23" s="1"/>
      <c r="M23" s="1"/>
      <c r="N23" s="1"/>
      <c r="O23" s="1"/>
      <c r="P23" s="1"/>
      <c r="Q23" s="1"/>
    </row>
    <row r="24" spans="1:17" ht="13.5" thickBot="1">
      <c r="A24" s="72"/>
      <c r="B24" s="73"/>
      <c r="C24" s="73"/>
      <c r="D24" s="73"/>
      <c r="E24" s="73"/>
      <c r="F24" s="73"/>
      <c r="G24" s="73"/>
      <c r="H24" s="73"/>
      <c r="I24" s="73"/>
      <c r="J24" s="74"/>
      <c r="K24" s="29"/>
      <c r="L24" s="1"/>
      <c r="M24" s="1"/>
      <c r="N24" s="1"/>
      <c r="O24" s="1"/>
      <c r="P24" s="1"/>
      <c r="Q24" s="1"/>
    </row>
    <row r="25" spans="2:17" ht="13.5" thickTop="1">
      <c r="B25" s="81"/>
      <c r="C25" s="82"/>
      <c r="D25" s="83"/>
      <c r="E25" s="83"/>
      <c r="F25" s="83"/>
      <c r="G25" s="83"/>
      <c r="H25" s="83"/>
      <c r="I25" s="83"/>
      <c r="J25" s="83"/>
      <c r="K25" s="1"/>
      <c r="L25" s="1"/>
      <c r="M25" s="1"/>
      <c r="N25" s="1"/>
      <c r="O25" s="1"/>
      <c r="P25" s="1"/>
      <c r="Q25" s="1"/>
    </row>
    <row r="26" spans="1:17" ht="12.75">
      <c r="A26" s="12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6"/>
      <c r="B28" s="4"/>
      <c r="C28" s="4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5"/>
      <c r="B30" s="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6"/>
      <c r="B33" s="4"/>
      <c r="C33" s="4"/>
      <c r="D33" s="6"/>
      <c r="E33" s="6"/>
      <c r="F33" s="4"/>
      <c r="G33" s="4"/>
      <c r="H33" s="6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6"/>
      <c r="B34" s="4"/>
      <c r="C34" s="4"/>
      <c r="D34" s="6"/>
      <c r="E34" s="6"/>
      <c r="F34" s="4"/>
      <c r="G34" s="4"/>
      <c r="H34" s="6"/>
      <c r="I34" s="8"/>
      <c r="J34" s="1"/>
      <c r="K34" s="1"/>
      <c r="L34" s="1"/>
      <c r="M34" s="1"/>
      <c r="N34" s="1"/>
      <c r="O34" s="1"/>
      <c r="P34" s="1"/>
      <c r="Q34" s="1"/>
    </row>
    <row r="35" spans="1:17" ht="12.75">
      <c r="A35" s="6"/>
      <c r="B35" s="2"/>
      <c r="C35" s="7"/>
      <c r="D35" s="6"/>
      <c r="E35" s="6"/>
      <c r="F35" s="2"/>
      <c r="G35" s="7"/>
      <c r="H35" s="2"/>
      <c r="I35" s="2"/>
      <c r="J35" s="2"/>
      <c r="K35" s="2"/>
      <c r="L35" s="2"/>
      <c r="M35" s="1"/>
      <c r="N35" s="1"/>
      <c r="O35" s="1"/>
      <c r="P35" s="1"/>
      <c r="Q35" s="1"/>
    </row>
  </sheetData>
  <sheetProtection password="BCF7" sheet="1" objects="1" scenarios="1"/>
  <printOptions horizontalCentered="1"/>
  <pageMargins left="0.5" right="0.5" top="0.7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0" width="8.7109375" style="2" customWidth="1"/>
    <col min="11" max="16384" width="9.140625" style="2" customWidth="1"/>
  </cols>
  <sheetData>
    <row r="1" spans="1:18" ht="13.5" thickBot="1">
      <c r="A1" s="10"/>
      <c r="B1" s="11"/>
      <c r="C1" s="11"/>
      <c r="D1" s="11"/>
      <c r="E1" s="10"/>
      <c r="F1" s="10"/>
      <c r="G1" s="10"/>
      <c r="H1" s="10"/>
      <c r="I1" s="10"/>
      <c r="J1" s="10"/>
      <c r="K1" s="1"/>
      <c r="L1" s="1"/>
      <c r="M1" s="1"/>
      <c r="N1" s="1"/>
      <c r="O1" s="1"/>
      <c r="P1" s="1"/>
      <c r="Q1" s="1"/>
      <c r="R1" s="1"/>
    </row>
    <row r="2" spans="1:18" ht="14.25" thickBot="1" thickTop="1">
      <c r="A2" s="30"/>
      <c r="B2" s="31"/>
      <c r="C2" s="31"/>
      <c r="D2" s="32" t="s">
        <v>0</v>
      </c>
      <c r="E2" s="31"/>
      <c r="F2" s="31"/>
      <c r="G2" s="31"/>
      <c r="H2" s="31"/>
      <c r="I2" s="31"/>
      <c r="J2" s="33"/>
      <c r="K2" s="9"/>
      <c r="L2" s="1"/>
      <c r="M2" s="1"/>
      <c r="N2" s="1"/>
      <c r="O2" s="1"/>
      <c r="P2" s="1"/>
      <c r="Q2" s="1"/>
      <c r="R2" s="1"/>
    </row>
    <row r="3" spans="1:18" ht="12.75">
      <c r="A3" s="42" t="s">
        <v>1</v>
      </c>
      <c r="B3" s="43"/>
      <c r="C3" s="56"/>
      <c r="D3" s="43"/>
      <c r="E3" s="43"/>
      <c r="F3" s="16" t="s">
        <v>2</v>
      </c>
      <c r="G3" s="17"/>
      <c r="H3" s="17"/>
      <c r="I3" s="18">
        <f>518.7-D5*0.003565</f>
        <v>517.0315800000001</v>
      </c>
      <c r="J3" s="34" t="s">
        <v>3</v>
      </c>
      <c r="K3" s="9"/>
      <c r="L3" s="1"/>
      <c r="M3" s="1"/>
      <c r="N3" s="1"/>
      <c r="O3" s="1"/>
      <c r="P3" s="1"/>
      <c r="Q3" s="1"/>
      <c r="R3" s="1"/>
    </row>
    <row r="4" spans="1:18" ht="12.75">
      <c r="A4" s="44" t="s">
        <v>4</v>
      </c>
      <c r="B4" s="45"/>
      <c r="C4" s="57">
        <v>1</v>
      </c>
      <c r="D4" s="65" t="s">
        <v>5</v>
      </c>
      <c r="E4" s="45" t="str">
        <f>IF(C4=1,"East","West")</f>
        <v>East</v>
      </c>
      <c r="F4" s="3" t="s">
        <v>6</v>
      </c>
      <c r="G4" s="1"/>
      <c r="H4" s="1"/>
      <c r="I4" s="4">
        <f>14.696-((0.0005293)*D5)+((0.000000007062)*D5^2)</f>
        <v>14.449834347488</v>
      </c>
      <c r="J4" s="14" t="s">
        <v>7</v>
      </c>
      <c r="K4" s="9"/>
      <c r="L4" s="1"/>
      <c r="M4" s="1"/>
      <c r="N4" s="1"/>
      <c r="O4" s="1"/>
      <c r="P4" s="1"/>
      <c r="Q4" s="1"/>
      <c r="R4" s="1"/>
    </row>
    <row r="5" spans="1:18" ht="12.75">
      <c r="A5" s="15" t="s">
        <v>8</v>
      </c>
      <c r="B5" s="1"/>
      <c r="C5" s="1"/>
      <c r="D5" s="55">
        <v>468</v>
      </c>
      <c r="E5" s="3" t="s">
        <v>9</v>
      </c>
      <c r="F5" s="3" t="s">
        <v>6</v>
      </c>
      <c r="G5" s="1"/>
      <c r="H5" s="1"/>
      <c r="I5" s="4">
        <f>29.92*I4/14.696</f>
        <v>29.418824420035453</v>
      </c>
      <c r="J5" s="14" t="s">
        <v>10</v>
      </c>
      <c r="K5" s="9"/>
      <c r="L5" s="1"/>
      <c r="M5" s="1"/>
      <c r="N5" s="1"/>
      <c r="O5" s="1"/>
      <c r="P5" s="1"/>
      <c r="Q5" s="1"/>
      <c r="R5" s="1"/>
    </row>
    <row r="6" spans="1:18" ht="12.75">
      <c r="A6" s="15" t="s">
        <v>11</v>
      </c>
      <c r="B6" s="1"/>
      <c r="C6" s="1"/>
      <c r="D6" s="55">
        <v>60</v>
      </c>
      <c r="E6" s="3" t="s">
        <v>12</v>
      </c>
      <c r="F6" s="3" t="s">
        <v>13</v>
      </c>
      <c r="G6" s="1"/>
      <c r="H6" s="1"/>
      <c r="I6" s="4">
        <f>1.325*I5/(D6+459.7)</f>
        <v>0.0750046995507927</v>
      </c>
      <c r="J6" s="14" t="s">
        <v>14</v>
      </c>
      <c r="K6" s="9"/>
      <c r="L6" s="1"/>
      <c r="M6" s="1"/>
      <c r="N6" s="1"/>
      <c r="O6" s="1"/>
      <c r="P6" s="1"/>
      <c r="Q6" s="1"/>
      <c r="R6" s="1"/>
    </row>
    <row r="7" spans="1:18" ht="13.5" thickBot="1">
      <c r="A7" s="35" t="s">
        <v>57</v>
      </c>
      <c r="B7" s="10">
        <v>90</v>
      </c>
      <c r="C7" s="10" t="s">
        <v>58</v>
      </c>
      <c r="D7" s="10">
        <v>10</v>
      </c>
      <c r="E7" s="10"/>
      <c r="F7" s="10"/>
      <c r="G7" s="10"/>
      <c r="H7" s="10"/>
      <c r="I7" s="10"/>
      <c r="J7" s="36"/>
      <c r="K7" s="9"/>
      <c r="L7" s="1"/>
      <c r="M7" s="1"/>
      <c r="N7" s="1"/>
      <c r="O7" s="1"/>
      <c r="P7" s="1"/>
      <c r="Q7" s="1"/>
      <c r="R7" s="1"/>
    </row>
    <row r="8" spans="1:18" ht="13.5" thickBot="1">
      <c r="A8" s="37" t="s">
        <v>15</v>
      </c>
      <c r="B8" s="20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0" t="s">
        <v>21</v>
      </c>
      <c r="H8" s="20" t="s">
        <v>59</v>
      </c>
      <c r="I8" s="20"/>
      <c r="J8" s="38" t="s">
        <v>23</v>
      </c>
      <c r="K8" s="9"/>
      <c r="L8" s="1"/>
      <c r="M8" s="1"/>
      <c r="N8" s="1"/>
      <c r="O8" s="1"/>
      <c r="P8" s="1"/>
      <c r="Q8" s="1"/>
      <c r="R8" s="1"/>
    </row>
    <row r="9" spans="1:18" ht="12.75">
      <c r="A9" s="84">
        <f>(B7*'Fuel 1'!A9+D7*'Fuel 2'!A9)/100</f>
        <v>0.6933</v>
      </c>
      <c r="B9" s="21" t="s">
        <v>24</v>
      </c>
      <c r="C9" s="22">
        <v>11.51</v>
      </c>
      <c r="D9" s="22">
        <f aca="true" t="shared" si="0" ref="D9:D14">A9*C9</f>
        <v>7.979883</v>
      </c>
      <c r="E9" s="22">
        <f>A9*3.664</f>
        <v>2.5402512</v>
      </c>
      <c r="F9" s="22">
        <f>A9*0</f>
        <v>0</v>
      </c>
      <c r="G9" s="22">
        <f>A9*8.846</f>
        <v>6.132931800000001</v>
      </c>
      <c r="H9" s="22">
        <f>A9*0</f>
        <v>0</v>
      </c>
      <c r="I9" s="22"/>
      <c r="J9" s="39">
        <f>A9*14093</f>
        <v>9770.6769</v>
      </c>
      <c r="K9" s="9"/>
      <c r="L9" s="1"/>
      <c r="M9" s="1"/>
      <c r="N9" s="1"/>
      <c r="O9" s="1"/>
      <c r="P9" s="1"/>
      <c r="Q9" s="1"/>
      <c r="R9" s="1"/>
    </row>
    <row r="10" spans="1:18" ht="12.75">
      <c r="A10" s="52">
        <f>(B7*'Fuel 1'!A10+D7*'Fuel 2'!A10)/100</f>
        <v>0.04455272727600001</v>
      </c>
      <c r="B10" s="5" t="s">
        <v>25</v>
      </c>
      <c r="C10" s="4">
        <v>34.29</v>
      </c>
      <c r="D10" s="4">
        <f t="shared" si="0"/>
        <v>1.5277130182940402</v>
      </c>
      <c r="E10" s="4">
        <f>A10*0</f>
        <v>0</v>
      </c>
      <c r="F10" s="4">
        <f>A10*8.937</f>
        <v>0.39816772366561204</v>
      </c>
      <c r="G10" s="4">
        <f>A10*26.353</f>
        <v>1.1740980219044284</v>
      </c>
      <c r="H10" s="4"/>
      <c r="I10" s="4"/>
      <c r="J10" s="40">
        <f>A10*61095</f>
        <v>2721.9488729272207</v>
      </c>
      <c r="K10" s="9"/>
      <c r="L10" s="1"/>
      <c r="M10" s="1"/>
      <c r="N10" s="1"/>
      <c r="O10" s="1"/>
      <c r="P10" s="1"/>
      <c r="Q10" s="1"/>
      <c r="R10" s="1"/>
    </row>
    <row r="11" spans="1:18" ht="12.75">
      <c r="A11" s="52">
        <f>(B7*'Fuel 1'!A11+D7*'Fuel 2'!A11)/100</f>
        <v>0.076045454543</v>
      </c>
      <c r="B11" s="5" t="s">
        <v>26</v>
      </c>
      <c r="C11" s="4">
        <v>-4.31593</v>
      </c>
      <c r="D11" s="4">
        <f t="shared" si="0"/>
        <v>-0.32820685862577</v>
      </c>
      <c r="E11" s="4">
        <f>A11*0</f>
        <v>0</v>
      </c>
      <c r="F11" s="4">
        <f>A11*0</f>
        <v>0</v>
      </c>
      <c r="G11" s="4">
        <f>D11*0.7683</f>
        <v>-0.25216132948217906</v>
      </c>
      <c r="H11" s="4"/>
      <c r="I11" s="4"/>
      <c r="J11" s="40">
        <f>A11*0</f>
        <v>0</v>
      </c>
      <c r="K11" s="9"/>
      <c r="L11" s="1"/>
      <c r="M11" s="1"/>
      <c r="N11" s="1"/>
      <c r="O11" s="1"/>
      <c r="P11" s="1"/>
      <c r="Q11" s="1"/>
      <c r="R11" s="1"/>
    </row>
    <row r="12" spans="1:18" ht="12.75">
      <c r="A12" s="52">
        <f>(B7*'Fuel 1'!A12+D7*'Fuel 2'!A12)/100</f>
        <v>0.013189090905</v>
      </c>
      <c r="B12" s="5" t="s">
        <v>27</v>
      </c>
      <c r="C12" s="4">
        <v>0</v>
      </c>
      <c r="D12" s="4">
        <f t="shared" si="0"/>
        <v>0</v>
      </c>
      <c r="E12" s="4">
        <f>A12*0</f>
        <v>0</v>
      </c>
      <c r="F12" s="4">
        <f>A12*0</f>
        <v>0</v>
      </c>
      <c r="G12" s="4">
        <f>A12</f>
        <v>0.013189090905</v>
      </c>
      <c r="H12" s="4"/>
      <c r="I12" s="4"/>
      <c r="J12" s="40">
        <f>A12*0</f>
        <v>0</v>
      </c>
      <c r="K12" s="9"/>
      <c r="L12" s="1"/>
      <c r="M12" s="1"/>
      <c r="N12" s="1"/>
      <c r="O12" s="1"/>
      <c r="P12" s="1"/>
      <c r="Q12" s="1"/>
      <c r="R12" s="1"/>
    </row>
    <row r="13" spans="1:18" ht="12.75">
      <c r="A13" s="52">
        <f>(B7*'Fuel 1'!A13+D7*'Fuel 2'!A13)/100</f>
        <v>0.006401181819</v>
      </c>
      <c r="B13" s="5" t="s">
        <v>28</v>
      </c>
      <c r="C13" s="4">
        <v>4.32</v>
      </c>
      <c r="D13" s="4">
        <f t="shared" si="0"/>
        <v>0.027653105458080002</v>
      </c>
      <c r="E13" s="4">
        <f>A13*0</f>
        <v>0</v>
      </c>
      <c r="F13" s="4">
        <f>A13*0</f>
        <v>0</v>
      </c>
      <c r="G13" s="4">
        <f>A13*3.32</f>
        <v>0.02125192363908</v>
      </c>
      <c r="H13" s="4">
        <f>A13*1.998</f>
        <v>0.012789561274362002</v>
      </c>
      <c r="I13" s="4"/>
      <c r="J13" s="40">
        <f>A13*3980</f>
        <v>25.476703639620002</v>
      </c>
      <c r="K13" s="9"/>
      <c r="L13" s="1"/>
      <c r="M13" s="1"/>
      <c r="N13" s="1"/>
      <c r="O13" s="1"/>
      <c r="P13" s="1"/>
      <c r="Q13" s="1"/>
      <c r="R13" s="1"/>
    </row>
    <row r="14" spans="1:18" ht="12.75">
      <c r="A14" s="52">
        <f>(B7*'Fuel 1'!A14+D7*'Fuel 2'!A14)/100</f>
        <v>0.092297272724</v>
      </c>
      <c r="B14" s="5" t="s">
        <v>29</v>
      </c>
      <c r="C14" s="4">
        <v>0</v>
      </c>
      <c r="D14" s="4">
        <f t="shared" si="0"/>
        <v>0</v>
      </c>
      <c r="E14" s="4">
        <f>A14*0</f>
        <v>0</v>
      </c>
      <c r="F14" s="4">
        <f>A14*0</f>
        <v>0</v>
      </c>
      <c r="G14" s="4">
        <f>A14*0</f>
        <v>0</v>
      </c>
      <c r="H14" s="4"/>
      <c r="I14" s="4"/>
      <c r="J14" s="40">
        <f>A14*0</f>
        <v>0</v>
      </c>
      <c r="K14" s="9"/>
      <c r="L14" s="1"/>
      <c r="M14" s="1"/>
      <c r="N14" s="1"/>
      <c r="O14" s="1"/>
      <c r="P14" s="1"/>
      <c r="Q14" s="1"/>
      <c r="R14" s="1"/>
    </row>
    <row r="15" spans="1:18" ht="13.5" thickBot="1">
      <c r="A15" s="85">
        <f>(B7*'Fuel 1'!A15+D7*'Fuel 2'!A15)/100</f>
        <v>0.074210909095</v>
      </c>
      <c r="B15" s="24" t="s">
        <v>30</v>
      </c>
      <c r="C15" s="25">
        <v>0</v>
      </c>
      <c r="D15" s="25">
        <v>0</v>
      </c>
      <c r="E15" s="25">
        <v>0</v>
      </c>
      <c r="F15" s="25">
        <f>A15</f>
        <v>0.074210909095</v>
      </c>
      <c r="G15" s="25">
        <v>0</v>
      </c>
      <c r="H15" s="25">
        <v>0</v>
      </c>
      <c r="I15" s="25"/>
      <c r="J15" s="41">
        <v>0</v>
      </c>
      <c r="K15" s="9"/>
      <c r="L15" s="1"/>
      <c r="M15" s="1"/>
      <c r="N15" s="1"/>
      <c r="O15" s="1"/>
      <c r="P15" s="1"/>
      <c r="Q15" s="1"/>
      <c r="R15" s="1"/>
    </row>
    <row r="16" spans="1:18" ht="12.75">
      <c r="A16" s="66" t="s">
        <v>31</v>
      </c>
      <c r="B16" s="75"/>
      <c r="C16" s="75" t="s">
        <v>17</v>
      </c>
      <c r="D16" s="75" t="s">
        <v>32</v>
      </c>
      <c r="E16" s="26" t="s">
        <v>33</v>
      </c>
      <c r="F16" s="26" t="s">
        <v>34</v>
      </c>
      <c r="G16" s="26" t="s">
        <v>35</v>
      </c>
      <c r="H16" s="26" t="s">
        <v>36</v>
      </c>
      <c r="I16" s="78" t="s">
        <v>37</v>
      </c>
      <c r="J16" s="67" t="s">
        <v>38</v>
      </c>
      <c r="K16" s="9"/>
      <c r="L16" s="1"/>
      <c r="M16" s="1"/>
      <c r="N16" s="1"/>
      <c r="O16" s="1"/>
      <c r="P16" s="1"/>
      <c r="Q16" s="1"/>
      <c r="R16" s="1"/>
    </row>
    <row r="17" spans="1:18" ht="13.5" thickBot="1">
      <c r="A17" s="68">
        <f>SUM(A9:A15)</f>
        <v>0.9999966363620001</v>
      </c>
      <c r="B17" s="19"/>
      <c r="C17" s="19">
        <f>SUM(D9:D15)</f>
        <v>9.20704226512635</v>
      </c>
      <c r="D17" s="27">
        <f>0.2317*C17</f>
        <v>2.1332716928297755</v>
      </c>
      <c r="E17" s="27">
        <f>SUM(E9:E15)</f>
        <v>2.5402512</v>
      </c>
      <c r="F17" s="27">
        <f>SUM(F9:F15)</f>
        <v>0.47237863276061204</v>
      </c>
      <c r="G17" s="27">
        <f>SUM(G9:G15)</f>
        <v>7.089309506966329</v>
      </c>
      <c r="H17" s="27">
        <f>SUM(H9:H15)</f>
        <v>0.012789561274362002</v>
      </c>
      <c r="I17" s="47">
        <f>SUM(E17:H17)</f>
        <v>10.114728901001303</v>
      </c>
      <c r="J17" s="69">
        <f>SUM(J9:J15)</f>
        <v>12518.102476566843</v>
      </c>
      <c r="K17" s="9"/>
      <c r="L17" s="1"/>
      <c r="M17" s="1"/>
      <c r="N17" s="1"/>
      <c r="O17" s="1"/>
      <c r="P17" s="1"/>
      <c r="Q17" s="1"/>
      <c r="R17" s="1"/>
    </row>
    <row r="18" spans="1:18" ht="12.75">
      <c r="A18" s="66" t="s">
        <v>39</v>
      </c>
      <c r="B18" s="26" t="s">
        <v>40</v>
      </c>
      <c r="C18" s="26" t="s">
        <v>41</v>
      </c>
      <c r="D18" s="78" t="s">
        <v>26</v>
      </c>
      <c r="E18" s="26" t="s">
        <v>42</v>
      </c>
      <c r="F18" s="26" t="s">
        <v>30</v>
      </c>
      <c r="G18" s="26" t="s">
        <v>27</v>
      </c>
      <c r="H18" s="26" t="s">
        <v>22</v>
      </c>
      <c r="I18" s="77" t="s">
        <v>37</v>
      </c>
      <c r="J18" s="67" t="s">
        <v>43</v>
      </c>
      <c r="K18" s="23"/>
      <c r="L18" s="1"/>
      <c r="M18" s="1"/>
      <c r="N18" s="1"/>
      <c r="O18" s="1"/>
      <c r="P18" s="1"/>
      <c r="Q18" s="1"/>
      <c r="R18" s="1"/>
    </row>
    <row r="19" spans="1:18" ht="12.75">
      <c r="A19" s="79" t="s">
        <v>44</v>
      </c>
      <c r="B19" s="51">
        <v>3</v>
      </c>
      <c r="C19" s="59">
        <f>(1+B19/100)*D17</f>
        <v>2.1972698436146687</v>
      </c>
      <c r="D19" s="59">
        <f>C19-D17</f>
        <v>0.06399815078489324</v>
      </c>
      <c r="E19" s="59">
        <f>E17</f>
        <v>2.5402512</v>
      </c>
      <c r="F19" s="59">
        <f>F17</f>
        <v>0.47237863276061204</v>
      </c>
      <c r="G19" s="10">
        <f>G17+(B19/100)*(0.7683*C17)</f>
        <v>7.3015226241352265</v>
      </c>
      <c r="H19" s="59">
        <f>H17</f>
        <v>0.012789561274362002</v>
      </c>
      <c r="I19" s="60">
        <f>SUM(D19:H19)</f>
        <v>10.390940168955094</v>
      </c>
      <c r="J19" s="41">
        <f>SUM(J9:J15)-1059.7*F17</f>
        <v>12017.522839430421</v>
      </c>
      <c r="K19" s="23"/>
      <c r="L19" s="1"/>
      <c r="M19" s="1"/>
      <c r="N19" s="1"/>
      <c r="O19" s="1"/>
      <c r="P19" s="1"/>
      <c r="Q19" s="1"/>
      <c r="R19" s="1"/>
    </row>
    <row r="20" spans="1:18" ht="12.75">
      <c r="A20" s="44"/>
      <c r="B20" s="45"/>
      <c r="C20" s="45" t="s">
        <v>45</v>
      </c>
      <c r="D20" s="48">
        <f>D19/31.9988</f>
        <v>0.002000017212673389</v>
      </c>
      <c r="E20" s="1">
        <f>E19/44.0098</f>
        <v>0.05772012597194262</v>
      </c>
      <c r="F20" s="1">
        <f>F19/18.0153</f>
        <v>0.026220969551470807</v>
      </c>
      <c r="G20" s="1">
        <f>G19/28.0135</f>
        <v>0.2606429979879425</v>
      </c>
      <c r="H20" s="1">
        <f>H19/64.0648</f>
        <v>0.0001996347647126347</v>
      </c>
      <c r="I20" s="45">
        <f>SUM(D20:H20)</f>
        <v>0.3467837454887419</v>
      </c>
      <c r="J20" s="86"/>
      <c r="K20" s="28"/>
      <c r="L20" s="1"/>
      <c r="M20" s="1"/>
      <c r="N20" s="1"/>
      <c r="O20" s="1"/>
      <c r="P20" s="1"/>
      <c r="Q20" s="1"/>
      <c r="R20" s="1"/>
    </row>
    <row r="21" spans="1:18" ht="13.5" thickBot="1">
      <c r="A21" s="87"/>
      <c r="B21" s="19"/>
      <c r="C21" s="62" t="s">
        <v>46</v>
      </c>
      <c r="D21" s="62">
        <f>D20/I20</f>
        <v>0.00576733263508257</v>
      </c>
      <c r="E21" s="62">
        <f>E20/I20</f>
        <v>0.16644415063512966</v>
      </c>
      <c r="F21" s="62">
        <f>F20/I20</f>
        <v>0.0756118759675893</v>
      </c>
      <c r="G21" s="62">
        <f>G20/I20</f>
        <v>0.7516009656698401</v>
      </c>
      <c r="H21" s="62">
        <f>H20/I20</f>
        <v>0.0005756750923584326</v>
      </c>
      <c r="I21" s="62">
        <f>I19/I20</f>
        <v>29.96374629471331</v>
      </c>
      <c r="J21" s="88" t="s">
        <v>47</v>
      </c>
      <c r="K21" s="58"/>
      <c r="L21" s="1"/>
      <c r="M21" s="1"/>
      <c r="N21" s="1"/>
      <c r="O21" s="1"/>
      <c r="P21" s="1"/>
      <c r="Q21" s="1"/>
      <c r="R21" s="1"/>
    </row>
    <row r="22" spans="1:18" ht="12.75">
      <c r="A22" s="66" t="s">
        <v>48</v>
      </c>
      <c r="B22" s="26" t="s">
        <v>49</v>
      </c>
      <c r="C22" s="78" t="s">
        <v>50</v>
      </c>
      <c r="D22" s="26" t="s">
        <v>51</v>
      </c>
      <c r="E22" s="78" t="s">
        <v>52</v>
      </c>
      <c r="F22" s="26" t="s">
        <v>53</v>
      </c>
      <c r="G22" s="75" t="s">
        <v>54</v>
      </c>
      <c r="H22" s="26" t="s">
        <v>55</v>
      </c>
      <c r="I22" s="78"/>
      <c r="J22" s="67" t="s">
        <v>56</v>
      </c>
      <c r="K22" s="23"/>
      <c r="L22" s="1"/>
      <c r="M22" s="1"/>
      <c r="N22" s="1"/>
      <c r="O22" s="1"/>
      <c r="P22" s="1"/>
      <c r="Q22" s="1"/>
      <c r="R22" s="1"/>
    </row>
    <row r="23" spans="1:18" ht="13.5" thickBot="1">
      <c r="A23" s="70">
        <f>G23/J17</f>
        <v>662696.7639459748</v>
      </c>
      <c r="B23" s="27">
        <f>I19*A23</f>
        <v>6886042.424322781</v>
      </c>
      <c r="C23" s="46">
        <v>80</v>
      </c>
      <c r="D23" s="27">
        <f>B23+A23*C23*A14/100</f>
        <v>6934974.507486968</v>
      </c>
      <c r="E23" s="47">
        <f>(D23-B23)*7000/(H23*60)</f>
        <v>1.593144460116559</v>
      </c>
      <c r="F23" s="64">
        <v>800</v>
      </c>
      <c r="G23" s="46">
        <f>'Fuel 1'!G23</f>
        <v>8295706001.964939</v>
      </c>
      <c r="H23" s="27">
        <f>B23*(1545.33/I21)*(F23+459.7)/(I4*144*60)</f>
        <v>3583317.884056896</v>
      </c>
      <c r="I23" s="46"/>
      <c r="J23" s="71">
        <f>A23/'Fuel 1'!A23</f>
        <v>1.0195334829938074</v>
      </c>
      <c r="K23" s="9"/>
      <c r="L23" s="1"/>
      <c r="M23" s="1"/>
      <c r="N23" s="1"/>
      <c r="O23" s="1"/>
      <c r="P23" s="1"/>
      <c r="Q23" s="1"/>
      <c r="R23" s="1"/>
    </row>
    <row r="24" spans="1:18" ht="13.5" thickBot="1">
      <c r="A24" s="89"/>
      <c r="B24" s="90"/>
      <c r="C24" s="90"/>
      <c r="D24" s="90"/>
      <c r="E24" s="90"/>
      <c r="F24" s="90"/>
      <c r="G24" s="90"/>
      <c r="H24" s="90"/>
      <c r="I24" s="90"/>
      <c r="J24" s="91"/>
      <c r="K24" s="23"/>
      <c r="L24" s="1"/>
      <c r="M24" s="1"/>
      <c r="N24" s="1"/>
      <c r="O24" s="1"/>
      <c r="P24" s="1"/>
      <c r="Q24" s="1"/>
      <c r="R24" s="1"/>
    </row>
    <row r="25" spans="1:18" ht="13.5" thickTop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9"/>
      <c r="L25" s="1"/>
      <c r="M25" s="1"/>
      <c r="N25" s="1"/>
      <c r="O25" s="1"/>
      <c r="P25" s="1"/>
      <c r="Q25" s="1"/>
      <c r="R25" s="1"/>
    </row>
    <row r="26" spans="1:18" ht="12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6"/>
      <c r="B29" s="4"/>
      <c r="C29" s="4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5"/>
      <c r="B31" s="5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6"/>
      <c r="B34" s="4"/>
      <c r="C34" s="4"/>
      <c r="D34" s="6"/>
      <c r="E34" s="6"/>
      <c r="F34" s="4"/>
      <c r="G34" s="4"/>
      <c r="H34" s="6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6"/>
      <c r="B35" s="4"/>
      <c r="C35" s="4"/>
      <c r="D35" s="6"/>
      <c r="E35" s="6"/>
      <c r="F35" s="4"/>
      <c r="G35" s="4"/>
      <c r="H35" s="6"/>
      <c r="I35" s="8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6"/>
      <c r="C36" s="7"/>
      <c r="D36" s="6"/>
      <c r="E36" s="6"/>
      <c r="G36" s="7"/>
      <c r="M36" s="1"/>
      <c r="N36" s="1"/>
      <c r="O36" s="1"/>
      <c r="P36" s="1"/>
      <c r="Q36" s="1"/>
      <c r="R36" s="1"/>
    </row>
    <row r="37" spans="1:18" ht="12.75">
      <c r="A37" s="6"/>
      <c r="B37" s="4"/>
      <c r="C37" s="4"/>
      <c r="D37" s="6"/>
      <c r="E37" s="6"/>
      <c r="F37" s="4"/>
      <c r="G37" s="4"/>
      <c r="H37" s="6"/>
      <c r="I37" s="8"/>
      <c r="J37" s="1"/>
      <c r="K37" s="1"/>
      <c r="L37" s="1"/>
      <c r="M37" s="1"/>
      <c r="N37" s="1"/>
      <c r="O37" s="1"/>
      <c r="P37" s="1"/>
      <c r="Q37" s="1"/>
      <c r="R37" s="1"/>
    </row>
  </sheetData>
  <sheetProtection password="BCF7" sheet="1" objects="1" scenarios="1"/>
  <printOptions horizontalCentered="1"/>
  <pageMargins left="0.5" right="0.5" top="0.7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Intellisource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Intellisource Intellisource</dc:creator>
  <cp:keywords/>
  <dc:description/>
  <cp:lastModifiedBy>Ricardo</cp:lastModifiedBy>
  <cp:lastPrinted>2000-06-01T18:31:46Z</cp:lastPrinted>
  <dcterms:created xsi:type="dcterms:W3CDTF">2000-03-16T21:56:39Z</dcterms:created>
  <dcterms:modified xsi:type="dcterms:W3CDTF">2023-05-07T17:57:17Z</dcterms:modified>
  <cp:category/>
  <cp:version/>
  <cp:contentType/>
  <cp:contentStatus/>
</cp:coreProperties>
</file>